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65" windowHeight="6750" tabRatio="826" activeTab="2"/>
  </bookViews>
  <sheets>
    <sheet name="Table 1" sheetId="1" r:id="rId1"/>
    <sheet name="Table 2" sheetId="15" r:id="rId2"/>
    <sheet name="Table3" sheetId="3" r:id="rId3"/>
    <sheet name="Table 4" sheetId="4" r:id="rId4"/>
    <sheet name="Table 5" sheetId="14" r:id="rId5"/>
    <sheet name="Table 6" sheetId="13" r:id="rId6"/>
    <sheet name="Table 7" sheetId="6" r:id="rId7"/>
    <sheet name="Table 8" sheetId="7" r:id="rId8"/>
    <sheet name="Table 9" sheetId="8" r:id="rId9"/>
    <sheet name="Table 10" sheetId="9" r:id="rId10"/>
    <sheet name="Table 11" sheetId="10" r:id="rId11"/>
    <sheet name="Table 12" sheetId="11" r:id="rId12"/>
  </sheets>
  <calcPr calcId="125725"/>
</workbook>
</file>

<file path=xl/calcChain.xml><?xml version="1.0" encoding="utf-8"?>
<calcChain xmlns="http://schemas.openxmlformats.org/spreadsheetml/2006/main">
  <c r="J14" i="9"/>
  <c r="H26" i="4"/>
  <c r="H27"/>
  <c r="F12" i="6"/>
  <c r="B12"/>
  <c r="G16" i="13"/>
  <c r="F16"/>
  <c r="E16"/>
  <c r="D16"/>
  <c r="C16"/>
  <c r="B16"/>
  <c r="O8" i="14"/>
  <c r="G23"/>
  <c r="F23"/>
  <c r="E23"/>
  <c r="D23"/>
  <c r="C23"/>
  <c r="B23"/>
  <c r="G22"/>
  <c r="G24"/>
  <c r="F22"/>
  <c r="F24"/>
  <c r="E22"/>
  <c r="E24"/>
  <c r="D22"/>
  <c r="D24"/>
  <c r="C22"/>
  <c r="C24"/>
  <c r="B22"/>
  <c r="B24"/>
  <c r="N16"/>
  <c r="M16"/>
  <c r="L16"/>
  <c r="K16"/>
  <c r="J16"/>
  <c r="I16"/>
  <c r="G16"/>
  <c r="N17"/>
  <c r="N18"/>
  <c r="F16"/>
  <c r="M17"/>
  <c r="M18"/>
  <c r="E16"/>
  <c r="L17"/>
  <c r="L18"/>
  <c r="D16"/>
  <c r="K17"/>
  <c r="K18"/>
  <c r="C16"/>
  <c r="J17"/>
  <c r="J18"/>
  <c r="B16"/>
  <c r="I17"/>
  <c r="I18"/>
  <c r="K15"/>
  <c r="N14"/>
  <c r="N15"/>
  <c r="M14"/>
  <c r="M15"/>
  <c r="L14"/>
  <c r="L15"/>
  <c r="K14"/>
  <c r="J14"/>
  <c r="J15"/>
  <c r="I14"/>
  <c r="I15"/>
  <c r="O13"/>
  <c r="H13"/>
  <c r="N7"/>
  <c r="M7"/>
  <c r="F26"/>
  <c r="F27"/>
  <c r="L7"/>
  <c r="E26"/>
  <c r="E27"/>
  <c r="K7"/>
  <c r="D26"/>
  <c r="D27"/>
  <c r="J7"/>
  <c r="C26"/>
  <c r="I7"/>
  <c r="B26"/>
  <c r="B27"/>
  <c r="G7"/>
  <c r="F7"/>
  <c r="M8"/>
  <c r="M9"/>
  <c r="E7"/>
  <c r="E25"/>
  <c r="D7"/>
  <c r="K8"/>
  <c r="K9"/>
  <c r="C7"/>
  <c r="C25"/>
  <c r="C27"/>
  <c r="B7"/>
  <c r="I8"/>
  <c r="I9"/>
  <c r="N6"/>
  <c r="M6"/>
  <c r="L6"/>
  <c r="K6"/>
  <c r="J6"/>
  <c r="I6"/>
  <c r="N5"/>
  <c r="M5"/>
  <c r="L5"/>
  <c r="K5"/>
  <c r="J5"/>
  <c r="I5"/>
  <c r="H23"/>
  <c r="H22"/>
  <c r="G25"/>
  <c r="G26"/>
  <c r="G27"/>
  <c r="H24"/>
  <c r="O17"/>
  <c r="O18"/>
  <c r="O6"/>
  <c r="H26"/>
  <c r="J8"/>
  <c r="J9"/>
  <c r="L8"/>
  <c r="L9"/>
  <c r="N8"/>
  <c r="N9"/>
  <c r="B25"/>
  <c r="D25"/>
  <c r="F25"/>
  <c r="O5"/>
  <c r="O14"/>
  <c r="O15"/>
  <c r="O9"/>
  <c r="H25"/>
  <c r="H27"/>
  <c r="G23" i="13"/>
  <c r="F23"/>
  <c r="E23"/>
  <c r="D23"/>
  <c r="C23"/>
  <c r="B23"/>
  <c r="G22"/>
  <c r="G24"/>
  <c r="F22"/>
  <c r="F24"/>
  <c r="E22"/>
  <c r="E24"/>
  <c r="D22"/>
  <c r="D24"/>
  <c r="C22"/>
  <c r="C24"/>
  <c r="B22"/>
  <c r="B24"/>
  <c r="N16"/>
  <c r="M16"/>
  <c r="F26"/>
  <c r="L16"/>
  <c r="E26"/>
  <c r="K16"/>
  <c r="J16"/>
  <c r="I16"/>
  <c r="N17"/>
  <c r="N18"/>
  <c r="M17"/>
  <c r="M18"/>
  <c r="L17"/>
  <c r="L18"/>
  <c r="K17"/>
  <c r="K18"/>
  <c r="J17"/>
  <c r="J18"/>
  <c r="N14"/>
  <c r="N15"/>
  <c r="M14"/>
  <c r="M15"/>
  <c r="L14"/>
  <c r="L15"/>
  <c r="K14"/>
  <c r="K15"/>
  <c r="J14"/>
  <c r="J15"/>
  <c r="I14"/>
  <c r="N7"/>
  <c r="G26"/>
  <c r="M7"/>
  <c r="L7"/>
  <c r="K7"/>
  <c r="J7"/>
  <c r="C26"/>
  <c r="I7"/>
  <c r="O7"/>
  <c r="H26"/>
  <c r="G7"/>
  <c r="G25"/>
  <c r="G27"/>
  <c r="F7"/>
  <c r="M8"/>
  <c r="M9"/>
  <c r="E7"/>
  <c r="E25"/>
  <c r="E27"/>
  <c r="D7"/>
  <c r="K8"/>
  <c r="K9"/>
  <c r="C7"/>
  <c r="C25"/>
  <c r="C27"/>
  <c r="B7"/>
  <c r="N5"/>
  <c r="N6"/>
  <c r="M5"/>
  <c r="M6"/>
  <c r="L5"/>
  <c r="L6"/>
  <c r="K5"/>
  <c r="K6"/>
  <c r="J5"/>
  <c r="J6"/>
  <c r="I5"/>
  <c r="I6"/>
  <c r="O4"/>
  <c r="H23"/>
  <c r="H24"/>
  <c r="H22"/>
  <c r="G23" i="4"/>
  <c r="G24"/>
  <c r="F23"/>
  <c r="F24"/>
  <c r="E23"/>
  <c r="E24"/>
  <c r="D23"/>
  <c r="D24"/>
  <c r="C23"/>
  <c r="B23"/>
  <c r="G22"/>
  <c r="F22"/>
  <c r="E22"/>
  <c r="D22"/>
  <c r="C22"/>
  <c r="B22"/>
  <c r="N16"/>
  <c r="M16"/>
  <c r="L16"/>
  <c r="K16"/>
  <c r="J16"/>
  <c r="I16"/>
  <c r="B25"/>
  <c r="G16"/>
  <c r="G17"/>
  <c r="G18"/>
  <c r="F16"/>
  <c r="E16"/>
  <c r="E17"/>
  <c r="E18"/>
  <c r="D16"/>
  <c r="C16"/>
  <c r="C17"/>
  <c r="B16"/>
  <c r="G14"/>
  <c r="G15"/>
  <c r="F14"/>
  <c r="F15"/>
  <c r="E14"/>
  <c r="E15"/>
  <c r="D14"/>
  <c r="C14"/>
  <c r="B14"/>
  <c r="N7"/>
  <c r="M7"/>
  <c r="L7"/>
  <c r="K7"/>
  <c r="J7"/>
  <c r="I7"/>
  <c r="G7"/>
  <c r="G8"/>
  <c r="G9"/>
  <c r="F7"/>
  <c r="F8"/>
  <c r="F9"/>
  <c r="E7"/>
  <c r="E8"/>
  <c r="E9"/>
  <c r="D7"/>
  <c r="D8"/>
  <c r="D9"/>
  <c r="C7"/>
  <c r="B7"/>
  <c r="G5"/>
  <c r="G6"/>
  <c r="F5"/>
  <c r="F6"/>
  <c r="E5"/>
  <c r="E6"/>
  <c r="D5"/>
  <c r="D6"/>
  <c r="C5"/>
  <c r="B5"/>
  <c r="H22"/>
  <c r="G4" i="3"/>
  <c r="I4"/>
  <c r="I3"/>
  <c r="H12" i="8"/>
  <c r="F12"/>
  <c r="D12"/>
  <c r="B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H12" i="7"/>
  <c r="I11"/>
  <c r="F12"/>
  <c r="D12"/>
  <c r="E5"/>
  <c r="B12"/>
  <c r="E11"/>
  <c r="G11"/>
  <c r="C11"/>
  <c r="I10"/>
  <c r="G10"/>
  <c r="C10"/>
  <c r="G9"/>
  <c r="C9"/>
  <c r="I8"/>
  <c r="G8"/>
  <c r="C8"/>
  <c r="G7"/>
  <c r="C7"/>
  <c r="I6"/>
  <c r="G6"/>
  <c r="C6"/>
  <c r="G5"/>
  <c r="C5"/>
  <c r="H12" i="6"/>
  <c r="D12"/>
  <c r="E11"/>
  <c r="I11"/>
  <c r="G11"/>
  <c r="C11"/>
  <c r="I10"/>
  <c r="G10"/>
  <c r="C10"/>
  <c r="I9"/>
  <c r="G9"/>
  <c r="C9"/>
  <c r="I8"/>
  <c r="G8"/>
  <c r="C8"/>
  <c r="I7"/>
  <c r="G7"/>
  <c r="C7"/>
  <c r="I6"/>
  <c r="G6"/>
  <c r="C6"/>
  <c r="I5"/>
  <c r="G5"/>
  <c r="E5"/>
  <c r="C5"/>
  <c r="G23" i="9"/>
  <c r="F23"/>
  <c r="E23"/>
  <c r="D23"/>
  <c r="C23"/>
  <c r="B23"/>
  <c r="G22"/>
  <c r="F22"/>
  <c r="F24"/>
  <c r="E22"/>
  <c r="D22"/>
  <c r="D24"/>
  <c r="C22"/>
  <c r="B22"/>
  <c r="B24"/>
  <c r="N16"/>
  <c r="M16"/>
  <c r="L16"/>
  <c r="K16"/>
  <c r="J16"/>
  <c r="I16"/>
  <c r="G16"/>
  <c r="F16"/>
  <c r="M17"/>
  <c r="M18"/>
  <c r="E16"/>
  <c r="D16"/>
  <c r="K17"/>
  <c r="K18"/>
  <c r="C16"/>
  <c r="B16"/>
  <c r="N14"/>
  <c r="N15"/>
  <c r="M14"/>
  <c r="M15"/>
  <c r="L14"/>
  <c r="L15"/>
  <c r="K14"/>
  <c r="K15"/>
  <c r="J15"/>
  <c r="I14"/>
  <c r="N7"/>
  <c r="G26"/>
  <c r="M7"/>
  <c r="L7"/>
  <c r="E26"/>
  <c r="E27"/>
  <c r="K7"/>
  <c r="J7"/>
  <c r="C26"/>
  <c r="I7"/>
  <c r="G7"/>
  <c r="F7"/>
  <c r="F25"/>
  <c r="E7"/>
  <c r="D7"/>
  <c r="D25"/>
  <c r="D27"/>
  <c r="C7"/>
  <c r="B7"/>
  <c r="N5"/>
  <c r="N6"/>
  <c r="M5"/>
  <c r="M6"/>
  <c r="L5"/>
  <c r="L6"/>
  <c r="K5"/>
  <c r="K6"/>
  <c r="J5"/>
  <c r="J6"/>
  <c r="I5"/>
  <c r="H22"/>
  <c r="G23" i="10"/>
  <c r="F23"/>
  <c r="E23"/>
  <c r="D23"/>
  <c r="C23"/>
  <c r="B23"/>
  <c r="G22"/>
  <c r="G24"/>
  <c r="F22"/>
  <c r="E22"/>
  <c r="E24"/>
  <c r="D22"/>
  <c r="D24"/>
  <c r="C22"/>
  <c r="C24"/>
  <c r="B22"/>
  <c r="B24"/>
  <c r="N16"/>
  <c r="M16"/>
  <c r="F26"/>
  <c r="F27"/>
  <c r="L16"/>
  <c r="K16"/>
  <c r="J16"/>
  <c r="I16"/>
  <c r="B26"/>
  <c r="G16"/>
  <c r="N17"/>
  <c r="N18"/>
  <c r="F16"/>
  <c r="M17"/>
  <c r="M18"/>
  <c r="E16"/>
  <c r="L17"/>
  <c r="L18"/>
  <c r="D16"/>
  <c r="K17"/>
  <c r="K18"/>
  <c r="C16"/>
  <c r="J17"/>
  <c r="J18"/>
  <c r="B16"/>
  <c r="N14"/>
  <c r="N15"/>
  <c r="M14"/>
  <c r="M15"/>
  <c r="L14"/>
  <c r="L15"/>
  <c r="K14"/>
  <c r="K15"/>
  <c r="J14"/>
  <c r="J15"/>
  <c r="I14"/>
  <c r="O13"/>
  <c r="N7"/>
  <c r="M7"/>
  <c r="L7"/>
  <c r="K7"/>
  <c r="D26"/>
  <c r="J7"/>
  <c r="I7"/>
  <c r="G7"/>
  <c r="G25"/>
  <c r="G27"/>
  <c r="F7"/>
  <c r="E7"/>
  <c r="E25"/>
  <c r="D7"/>
  <c r="C7"/>
  <c r="C25"/>
  <c r="C27"/>
  <c r="B7"/>
  <c r="N5"/>
  <c r="N6"/>
  <c r="M5"/>
  <c r="M6"/>
  <c r="L5"/>
  <c r="L6"/>
  <c r="K5"/>
  <c r="K6"/>
  <c r="J5"/>
  <c r="J6"/>
  <c r="I5"/>
  <c r="O4"/>
  <c r="H23"/>
  <c r="H24"/>
  <c r="H22"/>
  <c r="G23" i="11"/>
  <c r="F23"/>
  <c r="E23"/>
  <c r="D23"/>
  <c r="C23"/>
  <c r="B23"/>
  <c r="G22"/>
  <c r="F22"/>
  <c r="F24"/>
  <c r="E22"/>
  <c r="D22"/>
  <c r="D24"/>
  <c r="C22"/>
  <c r="B22"/>
  <c r="B24"/>
  <c r="N16"/>
  <c r="M16"/>
  <c r="L16"/>
  <c r="K16"/>
  <c r="J16"/>
  <c r="I16"/>
  <c r="B26"/>
  <c r="G16"/>
  <c r="N17"/>
  <c r="N18"/>
  <c r="F16"/>
  <c r="M17"/>
  <c r="M18"/>
  <c r="E16"/>
  <c r="L17"/>
  <c r="L18"/>
  <c r="D16"/>
  <c r="K17"/>
  <c r="K18"/>
  <c r="C16"/>
  <c r="B16"/>
  <c r="N14"/>
  <c r="N15"/>
  <c r="M14"/>
  <c r="M15"/>
  <c r="L14"/>
  <c r="L15"/>
  <c r="K14"/>
  <c r="K15"/>
  <c r="J14"/>
  <c r="J15"/>
  <c r="I14"/>
  <c r="N7"/>
  <c r="M7"/>
  <c r="L7"/>
  <c r="K7"/>
  <c r="J7"/>
  <c r="I7"/>
  <c r="G7"/>
  <c r="G25"/>
  <c r="G27"/>
  <c r="F7"/>
  <c r="F25"/>
  <c r="F27"/>
  <c r="E7"/>
  <c r="E25"/>
  <c r="E27"/>
  <c r="D7"/>
  <c r="D25"/>
  <c r="D27"/>
  <c r="C7"/>
  <c r="C25"/>
  <c r="C27"/>
  <c r="B7"/>
  <c r="N5"/>
  <c r="N6"/>
  <c r="M5"/>
  <c r="M6"/>
  <c r="L5"/>
  <c r="L6"/>
  <c r="K5"/>
  <c r="K6"/>
  <c r="J5"/>
  <c r="J6"/>
  <c r="I5"/>
  <c r="H22"/>
  <c r="L12" i="1"/>
  <c r="J12"/>
  <c r="K11"/>
  <c r="H12"/>
  <c r="F12"/>
  <c r="G5"/>
  <c r="D12"/>
  <c r="E5"/>
  <c r="B12"/>
  <c r="C5"/>
  <c r="M11"/>
  <c r="I11"/>
  <c r="G11"/>
  <c r="E11"/>
  <c r="M10"/>
  <c r="I10"/>
  <c r="G10"/>
  <c r="E10"/>
  <c r="M9"/>
  <c r="I9"/>
  <c r="G9"/>
  <c r="E9"/>
  <c r="M8"/>
  <c r="I8"/>
  <c r="G8"/>
  <c r="E8"/>
  <c r="M7"/>
  <c r="I7"/>
  <c r="G7"/>
  <c r="E7"/>
  <c r="M6"/>
  <c r="I6"/>
  <c r="G6"/>
  <c r="E6"/>
  <c r="M5"/>
  <c r="I5"/>
  <c r="N17" i="9"/>
  <c r="N18"/>
  <c r="G24"/>
  <c r="L17"/>
  <c r="L18"/>
  <c r="J17"/>
  <c r="J18"/>
  <c r="G26" i="11"/>
  <c r="G24"/>
  <c r="E26"/>
  <c r="J17"/>
  <c r="J18"/>
  <c r="C24"/>
  <c r="F26"/>
  <c r="E24"/>
  <c r="D26"/>
  <c r="C26"/>
  <c r="H26"/>
  <c r="I17"/>
  <c r="H25"/>
  <c r="B25"/>
  <c r="B27"/>
  <c r="D25" i="10"/>
  <c r="D27"/>
  <c r="F25"/>
  <c r="I17"/>
  <c r="O17"/>
  <c r="O18"/>
  <c r="B25"/>
  <c r="B27"/>
  <c r="H26" i="9"/>
  <c r="F26"/>
  <c r="F27"/>
  <c r="E24"/>
  <c r="D26"/>
  <c r="C24"/>
  <c r="B26"/>
  <c r="B25"/>
  <c r="B27"/>
  <c r="B26" i="13"/>
  <c r="C8" i="4"/>
  <c r="C25"/>
  <c r="I17" i="13"/>
  <c r="O17"/>
  <c r="O18"/>
  <c r="H14" i="4"/>
  <c r="H15"/>
  <c r="B17"/>
  <c r="B8"/>
  <c r="H8"/>
  <c r="H9"/>
  <c r="I17" i="9"/>
  <c r="H25"/>
  <c r="C25"/>
  <c r="E25"/>
  <c r="G25"/>
  <c r="G27"/>
  <c r="G26" i="10"/>
  <c r="F24"/>
  <c r="E26"/>
  <c r="E27"/>
  <c r="C26"/>
  <c r="H26"/>
  <c r="I8" i="13"/>
  <c r="I9"/>
  <c r="D26"/>
  <c r="G25" i="4"/>
  <c r="F25"/>
  <c r="E25"/>
  <c r="D25"/>
  <c r="F26"/>
  <c r="F27"/>
  <c r="D26"/>
  <c r="D27"/>
  <c r="J8" i="13"/>
  <c r="J9"/>
  <c r="L8"/>
  <c r="L9"/>
  <c r="N8"/>
  <c r="N9"/>
  <c r="B25"/>
  <c r="B27"/>
  <c r="D25"/>
  <c r="F25"/>
  <c r="F27"/>
  <c r="O5"/>
  <c r="O6"/>
  <c r="O14"/>
  <c r="O15"/>
  <c r="D17" i="4"/>
  <c r="F17"/>
  <c r="F18"/>
  <c r="H23"/>
  <c r="H24"/>
  <c r="C26"/>
  <c r="E26"/>
  <c r="E27"/>
  <c r="G26"/>
  <c r="G27"/>
  <c r="H5"/>
  <c r="H6"/>
  <c r="E6" i="7"/>
  <c r="E7"/>
  <c r="E8"/>
  <c r="E9"/>
  <c r="E10"/>
  <c r="E6" i="6"/>
  <c r="E7"/>
  <c r="E8"/>
  <c r="E9"/>
  <c r="E10"/>
  <c r="C27" i="9"/>
  <c r="I8"/>
  <c r="K8"/>
  <c r="K9"/>
  <c r="M8"/>
  <c r="M9"/>
  <c r="O8"/>
  <c r="O9"/>
  <c r="H23"/>
  <c r="H24"/>
  <c r="O5"/>
  <c r="O6"/>
  <c r="J8"/>
  <c r="J9"/>
  <c r="L8"/>
  <c r="L9"/>
  <c r="N8"/>
  <c r="N9"/>
  <c r="O14"/>
  <c r="O15"/>
  <c r="I8" i="10"/>
  <c r="K8"/>
  <c r="K9"/>
  <c r="M8"/>
  <c r="M9"/>
  <c r="O5"/>
  <c r="O6"/>
  <c r="J8"/>
  <c r="J9"/>
  <c r="L8"/>
  <c r="L9"/>
  <c r="N8"/>
  <c r="N9"/>
  <c r="O14"/>
  <c r="O15"/>
  <c r="O17" i="11"/>
  <c r="O18"/>
  <c r="I8"/>
  <c r="K8"/>
  <c r="K9"/>
  <c r="M8"/>
  <c r="M9"/>
  <c r="H23"/>
  <c r="H24"/>
  <c r="O5"/>
  <c r="O6"/>
  <c r="J8"/>
  <c r="J9"/>
  <c r="L8"/>
  <c r="L9"/>
  <c r="N8"/>
  <c r="N9"/>
  <c r="O14"/>
  <c r="O15"/>
  <c r="H27"/>
  <c r="H27" i="9"/>
  <c r="D27" i="13"/>
  <c r="O17" i="9"/>
  <c r="O18"/>
  <c r="O8" i="11"/>
  <c r="O9"/>
  <c r="O9" i="13"/>
  <c r="H25"/>
  <c r="H27"/>
  <c r="H25" i="4"/>
  <c r="H17"/>
  <c r="H18"/>
  <c r="H25" i="10"/>
  <c r="H27"/>
  <c r="O8"/>
  <c r="O9"/>
  <c r="K5" i="1"/>
  <c r="C6"/>
  <c r="K6"/>
  <c r="C7"/>
  <c r="K7"/>
  <c r="C8"/>
  <c r="K8"/>
  <c r="C9"/>
  <c r="K9"/>
  <c r="C10"/>
  <c r="K10"/>
  <c r="C11"/>
  <c r="I5" i="7"/>
  <c r="I7"/>
  <c r="I9"/>
  <c r="B26" i="4"/>
</calcChain>
</file>

<file path=xl/sharedStrings.xml><?xml version="1.0" encoding="utf-8"?>
<sst xmlns="http://schemas.openxmlformats.org/spreadsheetml/2006/main" count="524" uniqueCount="130">
  <si>
    <t>Table 1.  Land cover used for predicting stormwater runoff.  Information was adapted from the May River Chapter of the Beaufort County Stormwater Management Plan.</t>
  </si>
  <si>
    <t>Land Use Classes</t>
  </si>
  <si>
    <t>~2003 Land Use</t>
  </si>
  <si>
    <t>Projected Future Land Use</t>
  </si>
  <si>
    <t>Projected Future with Proposed Modifications</t>
  </si>
  <si>
    <t>Acres</t>
  </si>
  <si>
    <t>%</t>
  </si>
  <si>
    <t>Forest</t>
  </si>
  <si>
    <t>Commercial</t>
  </si>
  <si>
    <t>High Density Residential</t>
  </si>
  <si>
    <t>Medium Density Residential</t>
  </si>
  <si>
    <t>Low Density Residential</t>
  </si>
  <si>
    <t>Pasture/Golf Course/Urban Open Space</t>
  </si>
  <si>
    <t>Wetlands/Water</t>
  </si>
  <si>
    <t>Totals</t>
  </si>
  <si>
    <t>Estimated % Imperviousness</t>
  </si>
  <si>
    <t>~6%</t>
  </si>
  <si>
    <t>~14%</t>
  </si>
  <si>
    <t>~12%</t>
  </si>
  <si>
    <t>~10%</t>
  </si>
  <si>
    <t>~20%</t>
  </si>
  <si>
    <t>~19%</t>
  </si>
  <si>
    <t>Rainfall Events (in)</t>
  </si>
  <si>
    <t>0.25 in</t>
  </si>
  <si>
    <t>0.5 in</t>
  </si>
  <si>
    <t>1.0 in</t>
  </si>
  <si>
    <t>2.0 in</t>
  </si>
  <si>
    <t>3.0 in</t>
  </si>
  <si>
    <t xml:space="preserve">4.0 in </t>
  </si>
  <si>
    <t>Model Annual Cycle (52 in)</t>
  </si>
  <si>
    <t>Runoff Volume (ac ft)</t>
  </si>
  <si>
    <t>Volume Decrease (ac ft)</t>
  </si>
  <si>
    <t>% Decrease</t>
  </si>
  <si>
    <t>Comparison to 2003</t>
  </si>
  <si>
    <t>Decrease in fecal coliform loading (colonies)</t>
  </si>
  <si>
    <t>% Decrease [FC]</t>
  </si>
  <si>
    <t>Fecal Coliform Loadings (Vol*predicted [FC] in headwaters)</t>
  </si>
  <si>
    <t>Predicted stormwater runoff volumes and fecal coliform loadings for Stoney and Rose Dhu creeks combined</t>
  </si>
  <si>
    <t>Rainfall (in)</t>
  </si>
  <si>
    <t>Total Volume at build-out (ac ft)</t>
  </si>
  <si>
    <t>Total Volume at 100% Iimplementation Level (ac ft)</t>
  </si>
  <si>
    <t>% Decrease Total Runoff Volume</t>
  </si>
  <si>
    <t>Total FC Loadings at build-out</t>
  </si>
  <si>
    <t>Total FC Loadings at 100% implementation</t>
  </si>
  <si>
    <t>% Decrease Total FC Loadings</t>
  </si>
  <si>
    <t>Total Volume at 75% Iimplementation Level (ac ft)</t>
  </si>
  <si>
    <t>Total FC Loadings at 75% implementation</t>
  </si>
  <si>
    <t>Total Volume at 50% Iimplementation Level (ac ft)</t>
  </si>
  <si>
    <t>Total FC Loadings at 50% implementation</t>
  </si>
  <si>
    <t>Projected future land use if development rights for 50% of permitted but unbuilt properties are transferred and reforested</t>
  </si>
  <si>
    <t>Commercial/Industrial/Insitutional</t>
  </si>
  <si>
    <t>~16%</t>
  </si>
  <si>
    <t>Projected future land use if development rights for 75% of permitted but unbuilt properties are transferred and reforested</t>
  </si>
  <si>
    <t>Projected future land use if development rights for75% of permitted but unbuilt properties are transferred and reforested</t>
  </si>
  <si>
    <t>~9%</t>
  </si>
  <si>
    <t>~15%</t>
  </si>
  <si>
    <t>Projected future land use if development rights for 100% of permitted but unbuilt properties are transferred and reforested</t>
  </si>
  <si>
    <t>Rainfall Event Categories (in)</t>
  </si>
  <si>
    <t>&lt;0.25</t>
  </si>
  <si>
    <t>0.25-0.49</t>
  </si>
  <si>
    <t>0.50-1.00</t>
  </si>
  <si>
    <t>1.00-1.99</t>
  </si>
  <si>
    <t>2.00-2.99</t>
  </si>
  <si>
    <t>3.00-3.99</t>
  </si>
  <si>
    <t>&gt;3.99</t>
  </si>
  <si>
    <t>Model Annual Cycle   (52 in)</t>
  </si>
  <si>
    <t>Number of rainfall events</t>
  </si>
  <si>
    <t xml:space="preserve">Table 4.  Comparison of simulated stormwater runoff volume and fecal coliform loadings for the Stoney Creek and Rose Dhu Creek sub-watersheds between 2003 and at projected build-out. </t>
  </si>
  <si>
    <t>Stoney Creek Sub-watershed at 2003 Land Use (6% Imperviousness)</t>
  </si>
  <si>
    <t xml:space="preserve">% Increase in stormwater volume </t>
  </si>
  <si>
    <t>% Increase [FC]</t>
  </si>
  <si>
    <t>Rose Dhu Creek Sub-watershed at 2003 Land Use (10% Imperviousness)</t>
  </si>
  <si>
    <t>Predicted increase in stormwater runoff volumes and fecal coliform loadings for Stoney and Rose Dhu creeks combined</t>
  </si>
  <si>
    <t>Total Volume 2003 (ac ft)</t>
  </si>
  <si>
    <t>% Increase Total Runoff Volume</t>
  </si>
  <si>
    <t>% Increase Total FC Loadings</t>
  </si>
  <si>
    <t>Sending Area Before (~18% imperviousness)</t>
  </si>
  <si>
    <t>Sending Area After (~0% imperviousness)</t>
  </si>
  <si>
    <t>Predicted Volume Decrease (ac ft)</t>
  </si>
  <si>
    <t>% Volume Decrease</t>
  </si>
  <si>
    <t>% Decrease  in fecal coliform loadings</t>
  </si>
  <si>
    <t>Receiving Area Before (~90% imperviousness)</t>
  </si>
  <si>
    <t>Receiving Area After (~65% imperviousness)</t>
  </si>
  <si>
    <t>Predicted stormwater runoff volumes and fecal coliform loadings for Sending and Receiving areas combined</t>
  </si>
  <si>
    <t>Total Volume Before (ac ft)</t>
  </si>
  <si>
    <t>Total Volume After (ac ft)</t>
  </si>
  <si>
    <t>Total FC Loadings After Transfer</t>
  </si>
  <si>
    <t>`</t>
  </si>
  <si>
    <t>Table 2.  Curve numbers used for estimating stormwater runoff.</t>
  </si>
  <si>
    <t>Curve Number (CN)</t>
  </si>
  <si>
    <t>Land Use Type</t>
  </si>
  <si>
    <t>Cultivated - w/out terraces</t>
  </si>
  <si>
    <t>Woods/forests - good</t>
  </si>
  <si>
    <t>Pasture, golf courses, open space</t>
  </si>
  <si>
    <t>Wetlands</t>
  </si>
  <si>
    <t>Lakes, Pond</t>
  </si>
  <si>
    <t>Residential - High Density</t>
  </si>
  <si>
    <t>Residential - Medium Density</t>
  </si>
  <si>
    <t>Residential - Low Density</t>
  </si>
  <si>
    <t>NC</t>
  </si>
  <si>
    <t>Table 12.  Estimates of stormwater runoff volume, fecal coliform loadings and changes in stormwater runoff and fecal coliform loadings associated with implementing a transfer of development rights program for 100% of the properties identified as being reasonable to include in such a transfer program.</t>
  </si>
  <si>
    <t>Table 11.  Estimates of stormwater runoff volume, fecal coliform loadings and changes in stormwater runoff and fecal coliform loadings associated with implementing a transfer of development rights program for 75% of the properties identified as being reasonable to include in such a transfer program.</t>
  </si>
  <si>
    <t>Table 10.  Estimates of stormwater runoff volume, fecal coliform loadings and changes in stormwater runoff and fecal coliform loadings associated with implementing a transfer of development rights program for 50% of the properties identified as being reasonable to include in such a transfer program.</t>
  </si>
  <si>
    <t xml:space="preserve">Table 9.  Land use amounts and proportions for the Stoney Creek and Rose Dhu Creek sub-watersheds if a transfer of development rights were implemented for 100% of the permitted but unbuilt properties that can resaonably be included in such a program.  </t>
  </si>
  <si>
    <t xml:space="preserve">Table 8.  Land use amounts and proportions for the Stoney Creek and Rose Dhu Creek sub-watersheds if a transfer of development rights were implemented for 75% of the permitted but unbuilt properties that can resaonably be included in such a program.  </t>
  </si>
  <si>
    <t xml:space="preserve">Table 7.  Land use amounts and proportions for the Stoney Creek and Rose Dhu Creek sub-watersheds if a transfer of development rights were implemented for 50% of the permitted but unbuilt properties that can resaonably be included in such a program.  </t>
  </si>
  <si>
    <t xml:space="preserve">Table 5.  Simulated stormwater runoff volume and fecal coliform loadings at the site scale for a range of rainfall event sizes resulting from proposed modifications to the Stoney Creek and Rose Dhu sub-watersheds at the site scale.  Land cover before the proposed modifications in the Stoney Creek sending area was assumed to be 50% 0.125 ac parcels and 50% 0.5 ac parcel and land cover for the Stoney Creek sending area was assumed to be 100% forested after the proposed modification .  Land cover before the proposed modifications in the Rose Dhu sending area was assumed to be 100% commercial and land cover after the proposed modification was assumed to be 73% commercial and 27% forested. </t>
  </si>
  <si>
    <t>Volume Increase 2003 to build-out (ac ft)</t>
  </si>
  <si>
    <t xml:space="preserve">Increase in fecal coliform loadings </t>
  </si>
  <si>
    <t>Fecal Coliform Loadings (colonies/100 ml)</t>
  </si>
  <si>
    <t>Total FC Loadings 2003</t>
  </si>
  <si>
    <t>Decrease in fecal coliform loadings</t>
  </si>
  <si>
    <t>Total FC Loadings at Build-out</t>
  </si>
  <si>
    <t>Table 3.  Distribution of rainfall volume used for estimating annual stormwater runoff volume and fecal coliform loadings.  This rainfall distribution approximates conditions observed for Wadmalaw Isalnd SC in 2003 when a total rainfall of 52 inches was recorded.</t>
  </si>
  <si>
    <t>Rainfall volume (in)</t>
  </si>
  <si>
    <t>Stoney Creek Sub-watershed as Planned (14% Imperviousness)</t>
  </si>
  <si>
    <t>Rose Dhu Creek Sub-watershed as Planned (20% Imperviousness)</t>
  </si>
  <si>
    <t xml:space="preserve">Table 6.  Simulated stormwater runoff volume and fecal coliform loadings at the site scale for a range of rainfall event sizes resulting from proposed modifications to the Stoney Creek and Rose Dhu Creek sub-watersheds at the watershed scale.  </t>
  </si>
  <si>
    <t>Stoney Creek Sub-watershed After Proposed Modifications (12% Imperviousness)</t>
  </si>
  <si>
    <t>Rose Dhu Sub-watershed Area Proposed Modifcations (19% Imperviousness)</t>
  </si>
  <si>
    <t>Stoney Creek Sub-watershed</t>
  </si>
  <si>
    <t>Rose Dhu Creek Sub-watershed</t>
  </si>
  <si>
    <t>Stoney Creek Sub-watershed at the 50% Implementation Level (10% Imperviousness)</t>
  </si>
  <si>
    <t>Rose Dhu Sub-watershed at the 50% Implementation Level (16% Imperviousness)</t>
  </si>
  <si>
    <t>Stoney Creek Sub-watershed at the 75% Implementation Level (9% Imperviousness)</t>
  </si>
  <si>
    <t>Rose Dhu Creek Sub-watershed at the 75% Implementation Level (15% Imperviousness)</t>
  </si>
  <si>
    <t>Stoney Creek Sub-watershed at the 100% Implementation Level (9% Imperviousness)</t>
  </si>
  <si>
    <t>Rose Dhu Creek Sub-watershed at the 100% Implementation Level (14.5% Imperviousness)</t>
  </si>
  <si>
    <t>Stoney Creek</t>
  </si>
  <si>
    <t>Rose Dhu Creek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</si>
</sst>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8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b/>
      <sz val="12"/>
      <name val="Comic Sans MS"/>
      <family val="4"/>
    </font>
    <font>
      <b/>
      <sz val="9"/>
      <name val="Comic Sans MS"/>
      <family val="4"/>
    </font>
    <font>
      <b/>
      <sz val="10"/>
      <name val="Arial"/>
      <family val="2"/>
    </font>
    <font>
      <b/>
      <sz val="11"/>
      <name val="Comic Sans MS"/>
      <family val="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9" fontId="1" fillId="0" borderId="12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9" fontId="1" fillId="0" borderId="16" xfId="0" applyNumberFormat="1" applyFont="1" applyBorder="1" applyAlignment="1">
      <alignment horizontal="center" vertical="center"/>
    </xf>
    <xf numFmtId="9" fontId="1" fillId="0" borderId="15" xfId="0" applyNumberFormat="1" applyFont="1" applyBorder="1"/>
    <xf numFmtId="9" fontId="1" fillId="0" borderId="13" xfId="0" applyNumberFormat="1" applyFont="1" applyBorder="1"/>
    <xf numFmtId="0" fontId="0" fillId="0" borderId="15" xfId="0" applyBorder="1"/>
    <xf numFmtId="2" fontId="0" fillId="0" borderId="0" xfId="0" applyNumberFormat="1"/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11" fontId="1" fillId="0" borderId="8" xfId="0" applyNumberFormat="1" applyFont="1" applyBorder="1" applyAlignment="1">
      <alignment horizontal="center" vertical="center"/>
    </xf>
    <xf numFmtId="11" fontId="1" fillId="0" borderId="20" xfId="0" applyNumberFormat="1" applyFont="1" applyBorder="1" applyAlignment="1">
      <alignment horizontal="center" vertical="center"/>
    </xf>
    <xf numFmtId="11" fontId="1" fillId="0" borderId="1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/>
    </xf>
    <xf numFmtId="0" fontId="1" fillId="2" borderId="8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/>
    <xf numFmtId="0" fontId="1" fillId="2" borderId="29" xfId="0" applyFont="1" applyFill="1" applyBorder="1"/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2" fillId="0" borderId="32" xfId="0" applyFont="1" applyBorder="1" applyAlignment="1">
      <alignment vertical="center" wrapText="1"/>
    </xf>
    <xf numFmtId="0" fontId="0" fillId="0" borderId="33" xfId="0" applyBorder="1" applyAlignment="1"/>
    <xf numFmtId="0" fontId="0" fillId="0" borderId="34" xfId="0" applyBorder="1" applyAlignment="1"/>
    <xf numFmtId="0" fontId="1" fillId="0" borderId="18" xfId="0" applyFont="1" applyBorder="1" applyAlignment="1">
      <alignment horizontal="left" vertical="center" wrapText="1"/>
    </xf>
    <xf numFmtId="0" fontId="0" fillId="0" borderId="35" xfId="0" applyBorder="1" applyAlignment="1"/>
    <xf numFmtId="0" fontId="0" fillId="0" borderId="0" xfId="0" applyAlignment="1"/>
    <xf numFmtId="0" fontId="0" fillId="0" borderId="36" xfId="0" applyBorder="1" applyAlignment="1"/>
    <xf numFmtId="164" fontId="1" fillId="0" borderId="8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0" fillId="0" borderId="37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40" xfId="0" applyFont="1" applyBorder="1" applyAlignment="1"/>
    <xf numFmtId="0" fontId="4" fillId="0" borderId="30" xfId="0" applyFont="1" applyBorder="1" applyAlignment="1"/>
    <xf numFmtId="0" fontId="4" fillId="0" borderId="31" xfId="0" applyFont="1" applyBorder="1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20" xfId="0" applyFont="1" applyFill="1" applyBorder="1"/>
    <xf numFmtId="0" fontId="1" fillId="2" borderId="11" xfId="0" applyFont="1" applyFill="1" applyBorder="1"/>
    <xf numFmtId="0" fontId="1" fillId="2" borderId="41" xfId="0" applyFont="1" applyFill="1" applyBorder="1"/>
    <xf numFmtId="0" fontId="2" fillId="0" borderId="1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2" fontId="2" fillId="0" borderId="4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2" borderId="27" xfId="0" applyFont="1" applyFill="1" applyBorder="1"/>
    <xf numFmtId="0" fontId="1" fillId="0" borderId="19" xfId="0" applyFont="1" applyBorder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11" fontId="1" fillId="0" borderId="19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1" fontId="1" fillId="0" borderId="0" xfId="0" applyNumberFormat="1" applyFont="1"/>
    <xf numFmtId="0" fontId="4" fillId="0" borderId="17" xfId="0" applyFont="1" applyBorder="1" applyAlignment="1">
      <alignment horizontal="center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1" fillId="0" borderId="44" xfId="0" applyFont="1" applyBorder="1"/>
    <xf numFmtId="165" fontId="4" fillId="0" borderId="40" xfId="0" applyNumberFormat="1" applyFont="1" applyFill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1" fontId="2" fillId="0" borderId="47" xfId="0" applyNumberFormat="1" applyFont="1" applyBorder="1" applyAlignment="1">
      <alignment horizontal="left" indent="4"/>
    </xf>
    <xf numFmtId="1" fontId="2" fillId="0" borderId="48" xfId="0" applyNumberFormat="1" applyFont="1" applyBorder="1" applyAlignment="1">
      <alignment horizontal="left" indent="4"/>
    </xf>
    <xf numFmtId="2" fontId="1" fillId="0" borderId="19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1" fontId="2" fillId="0" borderId="49" xfId="0" applyNumberFormat="1" applyFont="1" applyBorder="1" applyAlignment="1">
      <alignment horizontal="left" indent="4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9" fontId="1" fillId="0" borderId="50" xfId="0" applyNumberFormat="1" applyFont="1" applyBorder="1" applyAlignment="1">
      <alignment horizontal="center" vertical="center"/>
    </xf>
    <xf numFmtId="9" fontId="1" fillId="0" borderId="51" xfId="0" applyNumberFormat="1" applyFont="1" applyBorder="1" applyAlignment="1">
      <alignment horizontal="center" vertical="center"/>
    </xf>
    <xf numFmtId="0" fontId="6" fillId="0" borderId="42" xfId="0" applyFont="1" applyBorder="1"/>
    <xf numFmtId="164" fontId="1" fillId="0" borderId="19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6" fillId="0" borderId="42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1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9" fontId="1" fillId="0" borderId="8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11" fontId="1" fillId="0" borderId="19" xfId="0" applyNumberFormat="1" applyFont="1" applyBorder="1" applyAlignment="1">
      <alignment horizontal="center" vertical="center"/>
    </xf>
    <xf numFmtId="11" fontId="1" fillId="0" borderId="50" xfId="0" applyNumberFormat="1" applyFont="1" applyBorder="1" applyAlignment="1">
      <alignment horizontal="center" vertical="center"/>
    </xf>
    <xf numFmtId="11" fontId="1" fillId="0" borderId="51" xfId="0" applyNumberFormat="1" applyFont="1" applyBorder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9" fontId="1" fillId="0" borderId="50" xfId="0" applyNumberFormat="1" applyFont="1" applyBorder="1" applyAlignment="1">
      <alignment horizontal="center" vertical="center"/>
    </xf>
    <xf numFmtId="9" fontId="1" fillId="0" borderId="51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0" xfId="0" applyFont="1" applyBorder="1"/>
    <xf numFmtId="0" fontId="1" fillId="0" borderId="51" xfId="0" applyFont="1" applyBorder="1"/>
    <xf numFmtId="0" fontId="2" fillId="0" borderId="35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36" xfId="0" applyFont="1" applyBorder="1"/>
    <xf numFmtId="0" fontId="1" fillId="0" borderId="35" xfId="0" applyFont="1" applyBorder="1"/>
    <xf numFmtId="0" fontId="1" fillId="0" borderId="0" xfId="0" applyFont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2" fillId="0" borderId="31" xfId="0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>
      <alignment horizontal="center" vertical="center"/>
    </xf>
    <xf numFmtId="9" fontId="1" fillId="0" borderId="26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40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9" fontId="1" fillId="0" borderId="12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1" fontId="1" fillId="0" borderId="62" xfId="0" applyNumberFormat="1" applyFont="1" applyBorder="1" applyAlignment="1">
      <alignment horizontal="center" vertical="center"/>
    </xf>
    <xf numFmtId="1" fontId="1" fillId="0" borderId="60" xfId="0" applyNumberFormat="1" applyFont="1" applyBorder="1" applyAlignment="1">
      <alignment horizontal="center" vertical="center"/>
    </xf>
    <xf numFmtId="1" fontId="1" fillId="0" borderId="61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1" fontId="1" fillId="0" borderId="8" xfId="0" applyNumberFormat="1" applyFont="1" applyBorder="1" applyAlignment="1">
      <alignment horizontal="center" vertical="center"/>
    </xf>
    <xf numFmtId="11" fontId="1" fillId="0" borderId="20" xfId="0" applyNumberFormat="1" applyFont="1" applyBorder="1" applyAlignment="1">
      <alignment horizontal="center" vertical="center"/>
    </xf>
    <xf numFmtId="11" fontId="1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view="pageBreakPreview" zoomScale="60" zoomScaleNormal="100" workbookViewId="0">
      <selection activeCell="H153" sqref="H153"/>
    </sheetView>
  </sheetViews>
  <sheetFormatPr defaultRowHeight="15"/>
  <cols>
    <col min="1" max="1" width="25.7109375" style="1" customWidth="1"/>
    <col min="3" max="3" width="9.140625" style="24"/>
  </cols>
  <sheetData>
    <row r="1" spans="1:13" ht="36.75" customHeight="1" thickTop="1" thickBot="1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2"/>
    </row>
    <row r="2" spans="1:13" ht="21" thickTop="1" thickBot="1">
      <c r="A2" s="123" t="s">
        <v>1</v>
      </c>
      <c r="B2" s="124" t="s">
        <v>128</v>
      </c>
      <c r="C2" s="124"/>
      <c r="D2" s="124"/>
      <c r="E2" s="124"/>
      <c r="F2" s="124"/>
      <c r="G2" s="124"/>
      <c r="H2" s="124" t="s">
        <v>129</v>
      </c>
      <c r="I2" s="124"/>
      <c r="J2" s="124"/>
      <c r="K2" s="124"/>
      <c r="L2" s="124"/>
      <c r="M2" s="124"/>
    </row>
    <row r="3" spans="1:13" s="1" customFormat="1" ht="51" customHeight="1" thickTop="1" thickBot="1">
      <c r="A3" s="123"/>
      <c r="B3" s="123" t="s">
        <v>2</v>
      </c>
      <c r="C3" s="123"/>
      <c r="D3" s="123" t="s">
        <v>3</v>
      </c>
      <c r="E3" s="123"/>
      <c r="F3" s="123" t="s">
        <v>4</v>
      </c>
      <c r="G3" s="123"/>
      <c r="H3" s="123" t="s">
        <v>2</v>
      </c>
      <c r="I3" s="123"/>
      <c r="J3" s="123" t="s">
        <v>3</v>
      </c>
      <c r="K3" s="123"/>
      <c r="L3" s="123" t="s">
        <v>4</v>
      </c>
      <c r="M3" s="123"/>
    </row>
    <row r="4" spans="1:13" s="1" customFormat="1" ht="14.25" customHeight="1" thickTop="1">
      <c r="A4" s="28"/>
      <c r="B4" s="6" t="s">
        <v>5</v>
      </c>
      <c r="C4" s="3" t="s">
        <v>6</v>
      </c>
      <c r="D4" s="114" t="s">
        <v>5</v>
      </c>
      <c r="E4" s="4" t="s">
        <v>6</v>
      </c>
      <c r="F4" s="5" t="s">
        <v>5</v>
      </c>
      <c r="G4" s="3" t="s">
        <v>6</v>
      </c>
      <c r="H4" s="6" t="s">
        <v>5</v>
      </c>
      <c r="I4" s="115" t="s">
        <v>6</v>
      </c>
      <c r="J4" s="6" t="s">
        <v>5</v>
      </c>
      <c r="K4" s="3" t="s">
        <v>6</v>
      </c>
      <c r="L4" s="6" t="s">
        <v>5</v>
      </c>
      <c r="M4" s="4" t="s">
        <v>6</v>
      </c>
    </row>
    <row r="5" spans="1:13">
      <c r="A5" s="40" t="s">
        <v>7</v>
      </c>
      <c r="B5" s="9">
        <v>2225</v>
      </c>
      <c r="C5" s="8">
        <f>(B5/$B$12)</f>
        <v>0.45104398945874719</v>
      </c>
      <c r="D5" s="9">
        <v>1</v>
      </c>
      <c r="E5" s="12">
        <f t="shared" ref="E5:E11" si="0">D5/$D$12</f>
        <v>2.0271639975674033E-4</v>
      </c>
      <c r="F5" s="11">
        <v>501</v>
      </c>
      <c r="G5" s="8">
        <f>F5/$F$12</f>
        <v>0.1015609162781269</v>
      </c>
      <c r="H5" s="9">
        <v>1666</v>
      </c>
      <c r="I5" s="12">
        <f>H5/$H$12</f>
        <v>0.44367509986684422</v>
      </c>
      <c r="J5" s="11">
        <v>0</v>
      </c>
      <c r="K5" s="8">
        <f>J5/$J$12</f>
        <v>0</v>
      </c>
      <c r="L5" s="9">
        <v>25</v>
      </c>
      <c r="M5" s="12">
        <f>L5/$L$12</f>
        <v>6.6577896138482022E-3</v>
      </c>
    </row>
    <row r="6" spans="1:13">
      <c r="A6" s="40" t="s">
        <v>8</v>
      </c>
      <c r="B6" s="9">
        <v>170</v>
      </c>
      <c r="C6" s="8">
        <f t="shared" ref="C6:C11" si="1">(B6/$B$12)</f>
        <v>3.4461787958645858E-2</v>
      </c>
      <c r="D6" s="9">
        <v>176</v>
      </c>
      <c r="E6" s="12">
        <f t="shared" si="0"/>
        <v>3.5678086357186299E-2</v>
      </c>
      <c r="F6" s="11">
        <v>176</v>
      </c>
      <c r="G6" s="8">
        <f t="shared" ref="G6:G11" si="2">F6/$D$12</f>
        <v>3.5678086357186299E-2</v>
      </c>
      <c r="H6" s="9">
        <v>294</v>
      </c>
      <c r="I6" s="12">
        <f t="shared" ref="I6:I11" si="3">H6/$H$12</f>
        <v>7.8295605858854866E-2</v>
      </c>
      <c r="J6" s="11">
        <v>491</v>
      </c>
      <c r="K6" s="8">
        <f t="shared" ref="K6:K11" si="4">J6/$J$12</f>
        <v>0.13075898801597868</v>
      </c>
      <c r="L6" s="9">
        <v>466</v>
      </c>
      <c r="M6" s="12">
        <f t="shared" ref="M6:M11" si="5">L6/$L$12</f>
        <v>0.12410119840213049</v>
      </c>
    </row>
    <row r="7" spans="1:13">
      <c r="A7" s="40" t="s">
        <v>9</v>
      </c>
      <c r="B7" s="9">
        <v>0</v>
      </c>
      <c r="C7" s="8">
        <f t="shared" si="1"/>
        <v>0</v>
      </c>
      <c r="D7" s="9">
        <v>0</v>
      </c>
      <c r="E7" s="12">
        <f t="shared" si="0"/>
        <v>0</v>
      </c>
      <c r="F7" s="11">
        <v>0</v>
      </c>
      <c r="G7" s="8">
        <f t="shared" si="2"/>
        <v>0</v>
      </c>
      <c r="H7" s="9">
        <v>249</v>
      </c>
      <c r="I7" s="12">
        <f t="shared" si="3"/>
        <v>6.6311584553928091E-2</v>
      </c>
      <c r="J7" s="11">
        <v>249</v>
      </c>
      <c r="K7" s="8">
        <f t="shared" si="4"/>
        <v>6.6311584553928091E-2</v>
      </c>
      <c r="L7" s="9">
        <v>249</v>
      </c>
      <c r="M7" s="12">
        <f t="shared" si="5"/>
        <v>6.6311584553928091E-2</v>
      </c>
    </row>
    <row r="8" spans="1:13">
      <c r="A8" s="40" t="s">
        <v>10</v>
      </c>
      <c r="B8" s="9">
        <v>28</v>
      </c>
      <c r="C8" s="8">
        <f t="shared" si="1"/>
        <v>5.6760591931887287E-3</v>
      </c>
      <c r="D8" s="9">
        <v>719</v>
      </c>
      <c r="E8" s="12">
        <f t="shared" si="0"/>
        <v>0.14575309142509629</v>
      </c>
      <c r="F8" s="11">
        <v>469</v>
      </c>
      <c r="G8" s="8">
        <f t="shared" si="2"/>
        <v>9.5073991485911211E-2</v>
      </c>
      <c r="H8" s="9">
        <v>84</v>
      </c>
      <c r="I8" s="12">
        <f t="shared" si="3"/>
        <v>2.237017310252996E-2</v>
      </c>
      <c r="J8" s="11">
        <v>1424</v>
      </c>
      <c r="K8" s="8">
        <f t="shared" si="4"/>
        <v>0.37922769640479359</v>
      </c>
      <c r="L8" s="9">
        <v>1424</v>
      </c>
      <c r="M8" s="12">
        <f t="shared" si="5"/>
        <v>0.37922769640479359</v>
      </c>
    </row>
    <row r="9" spans="1:13">
      <c r="A9" s="40" t="s">
        <v>11</v>
      </c>
      <c r="B9" s="9">
        <v>969</v>
      </c>
      <c r="C9" s="8">
        <f t="shared" si="1"/>
        <v>0.19643219136428136</v>
      </c>
      <c r="D9" s="9">
        <v>2694</v>
      </c>
      <c r="E9" s="12">
        <f t="shared" si="0"/>
        <v>0.54611798094465847</v>
      </c>
      <c r="F9" s="11">
        <v>2444</v>
      </c>
      <c r="G9" s="8">
        <f t="shared" si="2"/>
        <v>0.49543888100547334</v>
      </c>
      <c r="H9" s="9">
        <v>611</v>
      </c>
      <c r="I9" s="12">
        <f t="shared" si="3"/>
        <v>0.16271637816245008</v>
      </c>
      <c r="J9" s="11">
        <v>1026</v>
      </c>
      <c r="K9" s="8">
        <f t="shared" si="4"/>
        <v>0.2732356857523302</v>
      </c>
      <c r="L9" s="9">
        <v>1026</v>
      </c>
      <c r="M9" s="12">
        <f t="shared" si="5"/>
        <v>0.2732356857523302</v>
      </c>
    </row>
    <row r="10" spans="1:13" ht="30">
      <c r="A10" s="40" t="s">
        <v>12</v>
      </c>
      <c r="B10" s="9">
        <v>222</v>
      </c>
      <c r="C10" s="8">
        <f t="shared" si="1"/>
        <v>4.5003040745996349E-2</v>
      </c>
      <c r="D10" s="9">
        <v>24</v>
      </c>
      <c r="E10" s="12">
        <f t="shared" si="0"/>
        <v>4.8651935941617678E-3</v>
      </c>
      <c r="F10" s="11">
        <v>24</v>
      </c>
      <c r="G10" s="8">
        <f t="shared" si="2"/>
        <v>4.8651935941617678E-3</v>
      </c>
      <c r="H10" s="9">
        <v>851</v>
      </c>
      <c r="I10" s="12">
        <f t="shared" si="3"/>
        <v>0.22663115845539281</v>
      </c>
      <c r="J10" s="11">
        <v>565</v>
      </c>
      <c r="K10" s="8">
        <f t="shared" si="4"/>
        <v>0.15046604527296936</v>
      </c>
      <c r="L10" s="9">
        <v>565</v>
      </c>
      <c r="M10" s="12">
        <f t="shared" si="5"/>
        <v>0.15046604527296936</v>
      </c>
    </row>
    <row r="11" spans="1:13">
      <c r="A11" s="40" t="s">
        <v>13</v>
      </c>
      <c r="B11" s="9">
        <v>1319</v>
      </c>
      <c r="C11" s="8">
        <f t="shared" si="1"/>
        <v>0.26738293127914048</v>
      </c>
      <c r="D11" s="9">
        <v>1319</v>
      </c>
      <c r="E11" s="12">
        <f t="shared" si="0"/>
        <v>0.26738293127914048</v>
      </c>
      <c r="F11" s="11">
        <v>1319</v>
      </c>
      <c r="G11" s="8">
        <f t="shared" si="2"/>
        <v>0.26738293127914048</v>
      </c>
      <c r="H11" s="9">
        <v>0</v>
      </c>
      <c r="I11" s="12">
        <f t="shared" si="3"/>
        <v>0</v>
      </c>
      <c r="J11" s="11">
        <v>0</v>
      </c>
      <c r="K11" s="8">
        <f t="shared" si="4"/>
        <v>0</v>
      </c>
      <c r="L11" s="9">
        <v>0</v>
      </c>
      <c r="M11" s="12">
        <f t="shared" si="5"/>
        <v>0</v>
      </c>
    </row>
    <row r="12" spans="1:13">
      <c r="A12" s="40" t="s">
        <v>14</v>
      </c>
      <c r="B12" s="9">
        <f>SUM(B5:B11)</f>
        <v>4933</v>
      </c>
      <c r="C12" s="13"/>
      <c r="D12" s="9">
        <f>SUM(D5:D11)</f>
        <v>4933</v>
      </c>
      <c r="E12" s="14"/>
      <c r="F12" s="11">
        <f>SUM(F5:F11)</f>
        <v>4933</v>
      </c>
      <c r="G12" s="15"/>
      <c r="H12" s="9">
        <f>SUM(H5:H11)</f>
        <v>3755</v>
      </c>
      <c r="I12" s="14"/>
      <c r="J12" s="11">
        <f>SUM(J5:J11)</f>
        <v>3755</v>
      </c>
      <c r="K12" s="15"/>
      <c r="L12" s="9">
        <f>SUM(L5:L11)</f>
        <v>3755</v>
      </c>
      <c r="M12" s="14"/>
    </row>
    <row r="13" spans="1:13" ht="30.75" thickBot="1">
      <c r="A13" s="50" t="s">
        <v>15</v>
      </c>
      <c r="B13" s="18" t="s">
        <v>16</v>
      </c>
      <c r="C13" s="17"/>
      <c r="D13" s="18" t="s">
        <v>17</v>
      </c>
      <c r="E13" s="19"/>
      <c r="F13" s="20" t="s">
        <v>18</v>
      </c>
      <c r="G13" s="17"/>
      <c r="H13" s="18" t="s">
        <v>19</v>
      </c>
      <c r="I13" s="21"/>
      <c r="J13" s="20" t="s">
        <v>20</v>
      </c>
      <c r="K13" s="22"/>
      <c r="L13" s="18" t="s">
        <v>21</v>
      </c>
      <c r="M13" s="23"/>
    </row>
    <row r="14" spans="1:13" ht="15.75" thickTop="1"/>
  </sheetData>
  <mergeCells count="10">
    <mergeCell ref="A1:M1"/>
    <mergeCell ref="A2:A3"/>
    <mergeCell ref="B2:G2"/>
    <mergeCell ref="H2:M2"/>
    <mergeCell ref="B3:C3"/>
    <mergeCell ref="D3:E3"/>
    <mergeCell ref="F3:G3"/>
    <mergeCell ref="H3:I3"/>
    <mergeCell ref="J3:K3"/>
    <mergeCell ref="L3:M3"/>
  </mergeCells>
  <phoneticPr fontId="7" type="noConversion"/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view="pageBreakPreview" zoomScale="60" zoomScaleNormal="100" workbookViewId="0">
      <selection activeCell="B17" sqref="B17:H17"/>
    </sheetView>
  </sheetViews>
  <sheetFormatPr defaultRowHeight="15"/>
  <cols>
    <col min="1" max="1" width="21.140625" customWidth="1"/>
    <col min="2" max="2" width="10.5703125" customWidth="1"/>
    <col min="3" max="3" width="9.7109375" customWidth="1"/>
    <col min="4" max="4" width="9" customWidth="1"/>
    <col min="5" max="5" width="9.42578125" customWidth="1"/>
    <col min="6" max="6" width="9.7109375" bestFit="1" customWidth="1"/>
    <col min="7" max="13" width="9.85546875" customWidth="1"/>
    <col min="14" max="14" width="11.7109375" customWidth="1"/>
    <col min="15" max="15" width="15.42578125" customWidth="1"/>
  </cols>
  <sheetData>
    <row r="1" spans="1:15" ht="50.25" customHeight="1" thickTop="1" thickBot="1">
      <c r="A1" s="138" t="s">
        <v>102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ht="18" customHeight="1" thickTop="1" thickBot="1">
      <c r="A2" s="128" t="s">
        <v>22</v>
      </c>
      <c r="B2" s="180" t="s">
        <v>115</v>
      </c>
      <c r="C2" s="180"/>
      <c r="D2" s="180"/>
      <c r="E2" s="180"/>
      <c r="F2" s="180"/>
      <c r="G2" s="180"/>
      <c r="H2" s="180"/>
      <c r="I2" s="181" t="s">
        <v>122</v>
      </c>
      <c r="J2" s="182"/>
      <c r="K2" s="182"/>
      <c r="L2" s="182"/>
      <c r="M2" s="182"/>
      <c r="N2" s="182"/>
      <c r="O2" s="183"/>
    </row>
    <row r="3" spans="1:15" s="27" customFormat="1" ht="61.5" thickTop="1" thickBot="1">
      <c r="A3" s="128"/>
      <c r="B3" s="25" t="s">
        <v>23</v>
      </c>
      <c r="C3" s="25" t="s">
        <v>24</v>
      </c>
      <c r="D3" s="25" t="s">
        <v>25</v>
      </c>
      <c r="E3" s="25" t="s">
        <v>26</v>
      </c>
      <c r="F3" s="25" t="s">
        <v>27</v>
      </c>
      <c r="G3" s="25" t="s">
        <v>28</v>
      </c>
      <c r="H3" s="26" t="s">
        <v>29</v>
      </c>
      <c r="I3" s="25" t="s">
        <v>23</v>
      </c>
      <c r="J3" s="25" t="s">
        <v>24</v>
      </c>
      <c r="K3" s="25" t="s">
        <v>25</v>
      </c>
      <c r="L3" s="25" t="s">
        <v>26</v>
      </c>
      <c r="M3" s="25" t="s">
        <v>27</v>
      </c>
      <c r="N3" s="25" t="s">
        <v>28</v>
      </c>
      <c r="O3" s="26" t="s">
        <v>29</v>
      </c>
    </row>
    <row r="4" spans="1:15" ht="15.75" thickTop="1">
      <c r="A4" s="28" t="s">
        <v>30</v>
      </c>
      <c r="B4" s="29">
        <v>0.3</v>
      </c>
      <c r="C4" s="30">
        <v>9</v>
      </c>
      <c r="D4" s="30">
        <v>56.4</v>
      </c>
      <c r="E4" s="30">
        <v>234</v>
      </c>
      <c r="F4" s="30">
        <v>481.2</v>
      </c>
      <c r="G4" s="30">
        <v>770.8</v>
      </c>
      <c r="H4" s="31">
        <v>3404.9</v>
      </c>
      <c r="I4" s="47">
        <v>0</v>
      </c>
      <c r="J4" s="48">
        <v>2.5</v>
      </c>
      <c r="K4" s="48">
        <v>29.3</v>
      </c>
      <c r="L4" s="48">
        <v>151.6</v>
      </c>
      <c r="M4" s="48">
        <v>339.6</v>
      </c>
      <c r="N4" s="48">
        <v>573.20000000000005</v>
      </c>
      <c r="O4" s="49">
        <v>2054.4</v>
      </c>
    </row>
    <row r="5" spans="1:15" ht="30">
      <c r="A5" s="32" t="s">
        <v>31</v>
      </c>
      <c r="B5" s="151"/>
      <c r="C5" s="152"/>
      <c r="D5" s="152"/>
      <c r="E5" s="152"/>
      <c r="F5" s="152"/>
      <c r="G5" s="152"/>
      <c r="H5" s="153"/>
      <c r="I5" s="33">
        <f>B4-I4</f>
        <v>0.3</v>
      </c>
      <c r="J5" s="34">
        <f t="shared" ref="J5:O5" si="0">C4-J4</f>
        <v>6.5</v>
      </c>
      <c r="K5" s="34">
        <f t="shared" si="0"/>
        <v>27.099999999999998</v>
      </c>
      <c r="L5" s="34">
        <f t="shared" si="0"/>
        <v>82.4</v>
      </c>
      <c r="M5" s="34">
        <f t="shared" si="0"/>
        <v>141.59999999999997</v>
      </c>
      <c r="N5" s="34">
        <f t="shared" si="0"/>
        <v>197.59999999999991</v>
      </c>
      <c r="O5" s="14">
        <f t="shared" si="0"/>
        <v>1350.5</v>
      </c>
    </row>
    <row r="6" spans="1:15">
      <c r="A6" s="32" t="s">
        <v>32</v>
      </c>
      <c r="B6" s="146"/>
      <c r="C6" s="147"/>
      <c r="D6" s="147"/>
      <c r="E6" s="147"/>
      <c r="F6" s="147"/>
      <c r="G6" s="147"/>
      <c r="H6" s="148"/>
      <c r="I6" s="35">
        <v>0</v>
      </c>
      <c r="J6" s="36">
        <f t="shared" ref="J6:O6" si="1">J5/C4</f>
        <v>0.72222222222222221</v>
      </c>
      <c r="K6" s="36">
        <f t="shared" si="1"/>
        <v>0.48049645390070922</v>
      </c>
      <c r="L6" s="36">
        <f t="shared" si="1"/>
        <v>0.35213675213675216</v>
      </c>
      <c r="M6" s="36">
        <f t="shared" si="1"/>
        <v>0.29426433915211964</v>
      </c>
      <c r="N6" s="36">
        <f t="shared" si="1"/>
        <v>0.25635703165542284</v>
      </c>
      <c r="O6" s="12">
        <f t="shared" si="1"/>
        <v>0.39663426238656052</v>
      </c>
    </row>
    <row r="7" spans="1:15" ht="60">
      <c r="A7" s="32" t="s">
        <v>36</v>
      </c>
      <c r="B7" s="37">
        <f t="shared" ref="B7:G7" si="2">(B4*1233481855.4)*8.29</f>
        <v>3067669374.3797998</v>
      </c>
      <c r="C7" s="38">
        <f t="shared" si="2"/>
        <v>92030081231.393997</v>
      </c>
      <c r="D7" s="38">
        <f t="shared" si="2"/>
        <v>576721842383.40234</v>
      </c>
      <c r="E7" s="38">
        <f t="shared" si="2"/>
        <v>2392782112016.2441</v>
      </c>
      <c r="F7" s="38">
        <f t="shared" si="2"/>
        <v>4920541676505.1982</v>
      </c>
      <c r="G7" s="38">
        <f t="shared" si="2"/>
        <v>7881865179239.833</v>
      </c>
      <c r="H7" s="39">
        <v>34800000000000</v>
      </c>
      <c r="I7" s="37">
        <f t="shared" ref="I7:N7" si="3">(I4*1233481855.4)*6.29</f>
        <v>0</v>
      </c>
      <c r="J7" s="38">
        <f t="shared" si="3"/>
        <v>19396502176.165001</v>
      </c>
      <c r="K7" s="38">
        <f t="shared" si="3"/>
        <v>227327005504.65381</v>
      </c>
      <c r="L7" s="38">
        <f t="shared" si="3"/>
        <v>1176203891962.6458</v>
      </c>
      <c r="M7" s="38">
        <f t="shared" si="3"/>
        <v>2634820855610.2544</v>
      </c>
      <c r="N7" s="38">
        <f t="shared" si="3"/>
        <v>4447230018951.1123</v>
      </c>
      <c r="O7" s="39">
        <v>16000000000000</v>
      </c>
    </row>
    <row r="8" spans="1:15" ht="45">
      <c r="A8" s="40" t="s">
        <v>34</v>
      </c>
      <c r="B8" s="143"/>
      <c r="C8" s="144"/>
      <c r="D8" s="144"/>
      <c r="E8" s="144"/>
      <c r="F8" s="144"/>
      <c r="G8" s="144"/>
      <c r="H8" s="145"/>
      <c r="I8" s="37">
        <f>B7-I7</f>
        <v>3067669374.3797998</v>
      </c>
      <c r="J8" s="38">
        <f t="shared" ref="J8:O8" si="4">C7-J7</f>
        <v>72633579055.229004</v>
      </c>
      <c r="K8" s="38">
        <f t="shared" si="4"/>
        <v>349394836878.74854</v>
      </c>
      <c r="L8" s="38">
        <f t="shared" si="4"/>
        <v>1216578220053.5984</v>
      </c>
      <c r="M8" s="38">
        <f t="shared" si="4"/>
        <v>2285720820894.9438</v>
      </c>
      <c r="N8" s="38">
        <f t="shared" si="4"/>
        <v>3434635160288.7207</v>
      </c>
      <c r="O8" s="39">
        <f t="shared" si="4"/>
        <v>18800000000000</v>
      </c>
    </row>
    <row r="9" spans="1:15" ht="15.75" thickBot="1">
      <c r="A9" s="32" t="s">
        <v>35</v>
      </c>
      <c r="B9" s="165"/>
      <c r="C9" s="166"/>
      <c r="D9" s="166"/>
      <c r="E9" s="166"/>
      <c r="F9" s="166"/>
      <c r="G9" s="166"/>
      <c r="H9" s="167"/>
      <c r="I9" s="41">
        <v>0</v>
      </c>
      <c r="J9" s="16">
        <f t="shared" ref="J9:O9" si="5">J8/C7</f>
        <v>0.78923736764508789</v>
      </c>
      <c r="K9" s="16">
        <f t="shared" si="5"/>
        <v>0.60582903438304714</v>
      </c>
      <c r="L9" s="16">
        <f t="shared" si="5"/>
        <v>0.50843669130762015</v>
      </c>
      <c r="M9" s="16">
        <f t="shared" si="5"/>
        <v>0.46452625974268164</v>
      </c>
      <c r="N9" s="16">
        <f t="shared" si="5"/>
        <v>0.43576426165411453</v>
      </c>
      <c r="O9" s="19">
        <f t="shared" si="5"/>
        <v>0.54022988505747127</v>
      </c>
    </row>
    <row r="10" spans="1:15" ht="6.75" customHeight="1" thickTop="1" thickBot="1">
      <c r="A10" s="42"/>
      <c r="B10" s="52"/>
      <c r="C10" s="52"/>
      <c r="D10" s="52"/>
      <c r="E10" s="52"/>
      <c r="F10" s="52"/>
      <c r="G10" s="52"/>
      <c r="H10" s="77"/>
      <c r="I10" s="45"/>
      <c r="J10" s="43"/>
      <c r="K10" s="43"/>
      <c r="L10" s="43"/>
      <c r="M10" s="43"/>
      <c r="N10" s="43"/>
      <c r="O10" s="46"/>
    </row>
    <row r="11" spans="1:15" ht="16.5" thickTop="1" thickBot="1">
      <c r="A11" s="128" t="s">
        <v>22</v>
      </c>
      <c r="B11" s="180" t="s">
        <v>116</v>
      </c>
      <c r="C11" s="180"/>
      <c r="D11" s="180"/>
      <c r="E11" s="180"/>
      <c r="F11" s="180"/>
      <c r="G11" s="180"/>
      <c r="H11" s="180"/>
      <c r="I11" s="180" t="s">
        <v>123</v>
      </c>
      <c r="J11" s="180"/>
      <c r="K11" s="180"/>
      <c r="L11" s="180"/>
      <c r="M11" s="180"/>
      <c r="N11" s="180"/>
      <c r="O11" s="180"/>
    </row>
    <row r="12" spans="1:15" ht="61.5" thickTop="1" thickBot="1">
      <c r="A12" s="128"/>
      <c r="B12" s="25" t="s">
        <v>23</v>
      </c>
      <c r="C12" s="25" t="s">
        <v>24</v>
      </c>
      <c r="D12" s="25" t="s">
        <v>25</v>
      </c>
      <c r="E12" s="25" t="s">
        <v>26</v>
      </c>
      <c r="F12" s="25" t="s">
        <v>27</v>
      </c>
      <c r="G12" s="25" t="s">
        <v>28</v>
      </c>
      <c r="H12" s="26" t="s">
        <v>29</v>
      </c>
      <c r="I12" s="25" t="s">
        <v>23</v>
      </c>
      <c r="J12" s="25" t="s">
        <v>24</v>
      </c>
      <c r="K12" s="25" t="s">
        <v>25</v>
      </c>
      <c r="L12" s="25" t="s">
        <v>26</v>
      </c>
      <c r="M12" s="25" t="s">
        <v>27</v>
      </c>
      <c r="N12" s="25" t="s">
        <v>28</v>
      </c>
      <c r="O12" s="26" t="s">
        <v>29</v>
      </c>
    </row>
    <row r="13" spans="1:15" ht="15.75" thickTop="1">
      <c r="A13" s="28" t="s">
        <v>30</v>
      </c>
      <c r="B13" s="29">
        <v>0</v>
      </c>
      <c r="C13" s="30">
        <v>4.3</v>
      </c>
      <c r="D13" s="30">
        <v>33</v>
      </c>
      <c r="E13" s="30">
        <v>149.30000000000001</v>
      </c>
      <c r="F13" s="30">
        <v>318</v>
      </c>
      <c r="G13" s="30">
        <v>520.6</v>
      </c>
      <c r="H13" s="31">
        <v>2107.6999999999998</v>
      </c>
      <c r="I13" s="47">
        <v>0</v>
      </c>
      <c r="J13" s="48">
        <v>2.2000000000000002</v>
      </c>
      <c r="K13" s="48">
        <v>23.7</v>
      </c>
      <c r="L13" s="48">
        <v>120.2</v>
      </c>
      <c r="M13" s="48">
        <v>267.2</v>
      </c>
      <c r="N13" s="48">
        <v>448.4</v>
      </c>
      <c r="O13" s="49">
        <v>1639</v>
      </c>
    </row>
    <row r="14" spans="1:15" ht="30">
      <c r="A14" s="32" t="s">
        <v>31</v>
      </c>
      <c r="B14" s="151"/>
      <c r="C14" s="152"/>
      <c r="D14" s="152"/>
      <c r="E14" s="152"/>
      <c r="F14" s="152"/>
      <c r="G14" s="152"/>
      <c r="H14" s="152"/>
      <c r="I14" s="33">
        <f t="shared" ref="I14:O14" si="6">B13-I13</f>
        <v>0</v>
      </c>
      <c r="J14" s="34">
        <f t="shared" si="6"/>
        <v>2.0999999999999996</v>
      </c>
      <c r="K14" s="34">
        <f t="shared" si="6"/>
        <v>9.3000000000000007</v>
      </c>
      <c r="L14" s="34">
        <f t="shared" si="6"/>
        <v>29.100000000000009</v>
      </c>
      <c r="M14" s="34">
        <f t="shared" si="6"/>
        <v>50.800000000000011</v>
      </c>
      <c r="N14" s="34">
        <f t="shared" si="6"/>
        <v>72.200000000000045</v>
      </c>
      <c r="O14" s="14">
        <f t="shared" si="6"/>
        <v>468.69999999999982</v>
      </c>
    </row>
    <row r="15" spans="1:15">
      <c r="A15" s="32" t="s">
        <v>32</v>
      </c>
      <c r="B15" s="146"/>
      <c r="C15" s="147"/>
      <c r="D15" s="147"/>
      <c r="E15" s="147"/>
      <c r="F15" s="147"/>
      <c r="G15" s="147"/>
      <c r="H15" s="147"/>
      <c r="I15" s="35" t="s">
        <v>99</v>
      </c>
      <c r="J15" s="36">
        <f t="shared" ref="J15:O15" si="7">J14/C13</f>
        <v>0.48837209302325574</v>
      </c>
      <c r="K15" s="36">
        <f t="shared" si="7"/>
        <v>0.28181818181818186</v>
      </c>
      <c r="L15" s="36">
        <f t="shared" si="7"/>
        <v>0.19490957803081049</v>
      </c>
      <c r="M15" s="36">
        <f t="shared" si="7"/>
        <v>0.15974842767295602</v>
      </c>
      <c r="N15" s="36">
        <f t="shared" si="7"/>
        <v>0.13868613138686139</v>
      </c>
      <c r="O15" s="12">
        <f t="shared" si="7"/>
        <v>0.22237510082079986</v>
      </c>
    </row>
    <row r="16" spans="1:15" ht="60">
      <c r="A16" s="32" t="s">
        <v>36</v>
      </c>
      <c r="B16" s="33">
        <f t="shared" ref="B16:G16" si="8">12.274*(B13*1233481855.4)</f>
        <v>0</v>
      </c>
      <c r="C16" s="34">
        <f t="shared" si="8"/>
        <v>65100952060.672279</v>
      </c>
      <c r="D16" s="34">
        <f t="shared" si="8"/>
        <v>499611957674.92682</v>
      </c>
      <c r="E16" s="34">
        <f t="shared" si="8"/>
        <v>2260365614571.7144</v>
      </c>
      <c r="F16" s="34">
        <f t="shared" si="8"/>
        <v>4814442501231.1123</v>
      </c>
      <c r="G16" s="34">
        <f t="shared" si="8"/>
        <v>7881757126229.3008</v>
      </c>
      <c r="H16" s="39">
        <v>31900000000000</v>
      </c>
      <c r="I16" s="33">
        <f t="shared" ref="I16:N16" si="9">9.575*(I13*1233481855.4)</f>
        <v>0</v>
      </c>
      <c r="J16" s="34">
        <f t="shared" si="9"/>
        <v>25983295284.001003</v>
      </c>
      <c r="K16" s="34">
        <f t="shared" si="9"/>
        <v>279910953741.28345</v>
      </c>
      <c r="L16" s="34">
        <f t="shared" si="9"/>
        <v>1419632769607.6912</v>
      </c>
      <c r="M16" s="34">
        <f t="shared" si="9"/>
        <v>3155789318129.5757</v>
      </c>
      <c r="N16" s="34">
        <f t="shared" si="9"/>
        <v>5295868002430.0215</v>
      </c>
      <c r="O16" s="39">
        <v>19200000000000</v>
      </c>
    </row>
    <row r="17" spans="1:15" ht="45">
      <c r="A17" s="40" t="s">
        <v>34</v>
      </c>
      <c r="B17" s="151"/>
      <c r="C17" s="152"/>
      <c r="D17" s="152"/>
      <c r="E17" s="152"/>
      <c r="F17" s="152"/>
      <c r="G17" s="152"/>
      <c r="H17" s="152"/>
      <c r="I17" s="33">
        <f>B16-I16</f>
        <v>0</v>
      </c>
      <c r="J17" s="34">
        <f t="shared" ref="J17:O17" si="10">C16-J16</f>
        <v>39117656776.67128</v>
      </c>
      <c r="K17" s="34">
        <f t="shared" si="10"/>
        <v>219701003933.64337</v>
      </c>
      <c r="L17" s="34">
        <f t="shared" si="10"/>
        <v>840732844964.02319</v>
      </c>
      <c r="M17" s="34">
        <f t="shared" si="10"/>
        <v>1658653183101.5366</v>
      </c>
      <c r="N17" s="34">
        <f t="shared" si="10"/>
        <v>2585889123799.2793</v>
      </c>
      <c r="O17" s="14">
        <f t="shared" si="10"/>
        <v>12700000000000</v>
      </c>
    </row>
    <row r="18" spans="1:15" ht="15.75" thickBot="1">
      <c r="A18" s="50" t="s">
        <v>35</v>
      </c>
      <c r="B18" s="168"/>
      <c r="C18" s="169"/>
      <c r="D18" s="169"/>
      <c r="E18" s="169"/>
      <c r="F18" s="169"/>
      <c r="G18" s="169"/>
      <c r="H18" s="169"/>
      <c r="I18" s="18" t="s">
        <v>99</v>
      </c>
      <c r="J18" s="16">
        <f t="shared" ref="J18:O18" si="11">J17/C16</f>
        <v>0.60087687719550875</v>
      </c>
      <c r="K18" s="16">
        <f t="shared" si="11"/>
        <v>0.43974328588146427</v>
      </c>
      <c r="L18" s="16">
        <f t="shared" si="11"/>
        <v>0.37194551162172146</v>
      </c>
      <c r="M18" s="16">
        <f t="shared" si="11"/>
        <v>0.34451614754509968</v>
      </c>
      <c r="N18" s="16">
        <f t="shared" si="11"/>
        <v>0.32808535995023619</v>
      </c>
      <c r="O18" s="19">
        <f t="shared" si="11"/>
        <v>0.39811912225705332</v>
      </c>
    </row>
    <row r="19" spans="1:15" ht="4.5" customHeight="1" thickTop="1" thickBot="1">
      <c r="A19" s="51"/>
      <c r="B19" s="52"/>
      <c r="C19" s="52"/>
      <c r="D19" s="52"/>
      <c r="E19" s="52"/>
      <c r="F19" s="52"/>
      <c r="G19" s="52"/>
      <c r="H19" s="52"/>
      <c r="I19" s="75"/>
      <c r="J19" s="75"/>
      <c r="K19" s="75"/>
      <c r="L19" s="75"/>
      <c r="M19" s="75"/>
      <c r="N19" s="75"/>
      <c r="O19" s="76"/>
    </row>
    <row r="20" spans="1:15" ht="33.75" customHeight="1" thickTop="1" thickBot="1">
      <c r="A20" s="130" t="s">
        <v>37</v>
      </c>
      <c r="B20" s="131"/>
      <c r="C20" s="131"/>
      <c r="D20" s="131"/>
      <c r="E20" s="131"/>
      <c r="F20" s="131"/>
      <c r="G20" s="131"/>
      <c r="H20" s="164"/>
      <c r="I20" s="184"/>
      <c r="J20" s="184"/>
      <c r="K20" s="184"/>
      <c r="L20" s="184"/>
      <c r="M20" s="184"/>
      <c r="N20" s="184"/>
      <c r="O20" s="185"/>
    </row>
    <row r="21" spans="1:15" ht="30" customHeight="1" thickTop="1">
      <c r="A21" s="60" t="s">
        <v>38</v>
      </c>
      <c r="B21" s="47" t="s">
        <v>23</v>
      </c>
      <c r="C21" s="48" t="s">
        <v>24</v>
      </c>
      <c r="D21" s="48" t="s">
        <v>25</v>
      </c>
      <c r="E21" s="48" t="s">
        <v>26</v>
      </c>
      <c r="F21" s="48" t="s">
        <v>27</v>
      </c>
      <c r="G21" s="48" t="s">
        <v>28</v>
      </c>
      <c r="H21" s="10" t="s">
        <v>29</v>
      </c>
      <c r="I21" s="186"/>
      <c r="J21" s="186"/>
      <c r="K21" s="186"/>
      <c r="L21" s="186"/>
      <c r="M21" s="186"/>
      <c r="N21" s="186"/>
      <c r="O21" s="187"/>
    </row>
    <row r="22" spans="1:15" ht="30">
      <c r="A22" s="60" t="s">
        <v>39</v>
      </c>
      <c r="B22" s="33">
        <f>B4+B13</f>
        <v>0.3</v>
      </c>
      <c r="C22" s="34">
        <f t="shared" ref="C22:H22" si="12">C4+C13</f>
        <v>13.3</v>
      </c>
      <c r="D22" s="34">
        <f t="shared" si="12"/>
        <v>89.4</v>
      </c>
      <c r="E22" s="34">
        <f t="shared" si="12"/>
        <v>383.3</v>
      </c>
      <c r="F22" s="34">
        <f t="shared" si="12"/>
        <v>799.2</v>
      </c>
      <c r="G22" s="34">
        <f t="shared" si="12"/>
        <v>1291.4000000000001</v>
      </c>
      <c r="H22" s="14">
        <f t="shared" si="12"/>
        <v>5512.6</v>
      </c>
      <c r="I22" s="186"/>
      <c r="J22" s="186"/>
      <c r="K22" s="186"/>
      <c r="L22" s="186"/>
      <c r="M22" s="186"/>
      <c r="N22" s="186"/>
      <c r="O22" s="187"/>
    </row>
    <row r="23" spans="1:15" ht="46.5" customHeight="1">
      <c r="A23" s="40" t="s">
        <v>47</v>
      </c>
      <c r="B23" s="64">
        <f t="shared" ref="B23:H23" si="13">I4+I13</f>
        <v>0</v>
      </c>
      <c r="C23" s="65">
        <f t="shared" si="13"/>
        <v>4.7</v>
      </c>
      <c r="D23" s="65">
        <f t="shared" si="13"/>
        <v>53</v>
      </c>
      <c r="E23" s="65">
        <f t="shared" si="13"/>
        <v>271.8</v>
      </c>
      <c r="F23" s="65">
        <f t="shared" si="13"/>
        <v>606.79999999999995</v>
      </c>
      <c r="G23" s="65">
        <f t="shared" si="13"/>
        <v>1021.6</v>
      </c>
      <c r="H23" s="66">
        <f t="shared" si="13"/>
        <v>3693.4</v>
      </c>
      <c r="I23" s="186"/>
      <c r="J23" s="186"/>
      <c r="K23" s="186"/>
      <c r="L23" s="186"/>
      <c r="M23" s="186"/>
      <c r="N23" s="186"/>
      <c r="O23" s="187"/>
    </row>
    <row r="24" spans="1:15" ht="30">
      <c r="A24" s="40" t="s">
        <v>41</v>
      </c>
      <c r="B24" s="35">
        <f>(B22-B23)/B22</f>
        <v>1</v>
      </c>
      <c r="C24" s="36">
        <f t="shared" ref="C24:H24" si="14">(C22-C23)/C22</f>
        <v>0.64661654135338353</v>
      </c>
      <c r="D24" s="36">
        <f t="shared" si="14"/>
        <v>0.40715883668903807</v>
      </c>
      <c r="E24" s="36">
        <f t="shared" si="14"/>
        <v>0.29089486042264545</v>
      </c>
      <c r="F24" s="36">
        <f t="shared" si="14"/>
        <v>0.24074074074074084</v>
      </c>
      <c r="G24" s="36">
        <f t="shared" si="14"/>
        <v>0.20892055133963144</v>
      </c>
      <c r="H24" s="12">
        <f t="shared" si="14"/>
        <v>0.33000761890940755</v>
      </c>
      <c r="I24" s="186"/>
      <c r="J24" s="186"/>
      <c r="K24" s="186"/>
      <c r="L24" s="186"/>
      <c r="M24" s="186"/>
      <c r="N24" s="186"/>
      <c r="O24" s="187"/>
    </row>
    <row r="25" spans="1:15" ht="32.25" customHeight="1">
      <c r="A25" s="40" t="s">
        <v>42</v>
      </c>
      <c r="B25" s="37">
        <f t="shared" ref="B25:H25" si="15">B7+B16</f>
        <v>3067669374.3797998</v>
      </c>
      <c r="C25" s="38">
        <f t="shared" si="15"/>
        <v>157131033292.06628</v>
      </c>
      <c r="D25" s="38">
        <f t="shared" si="15"/>
        <v>1076333800058.3291</v>
      </c>
      <c r="E25" s="38">
        <f t="shared" si="15"/>
        <v>4653147726587.959</v>
      </c>
      <c r="F25" s="38">
        <f t="shared" si="15"/>
        <v>9734984177736.3105</v>
      </c>
      <c r="G25" s="38">
        <f t="shared" si="15"/>
        <v>15763622305469.133</v>
      </c>
      <c r="H25" s="39">
        <f t="shared" si="15"/>
        <v>66700000000000</v>
      </c>
      <c r="I25" s="186"/>
      <c r="J25" s="186"/>
      <c r="K25" s="186"/>
      <c r="L25" s="186"/>
      <c r="M25" s="186"/>
      <c r="N25" s="186"/>
      <c r="O25" s="187"/>
    </row>
    <row r="26" spans="1:15" ht="29.25" customHeight="1">
      <c r="A26" s="40" t="s">
        <v>48</v>
      </c>
      <c r="B26" s="37">
        <f t="shared" ref="B26:H26" si="16">I16+I7</f>
        <v>0</v>
      </c>
      <c r="C26" s="38">
        <f t="shared" si="16"/>
        <v>45379797460.166</v>
      </c>
      <c r="D26" s="38">
        <f t="shared" si="16"/>
        <v>507237959245.93726</v>
      </c>
      <c r="E26" s="38">
        <f t="shared" si="16"/>
        <v>2595836661570.3369</v>
      </c>
      <c r="F26" s="38">
        <f t="shared" si="16"/>
        <v>5790610173739.8301</v>
      </c>
      <c r="G26" s="38">
        <f t="shared" si="16"/>
        <v>9743098021381.1328</v>
      </c>
      <c r="H26" s="39">
        <f t="shared" si="16"/>
        <v>35200000000000</v>
      </c>
      <c r="I26" s="186"/>
      <c r="J26" s="186"/>
      <c r="K26" s="186"/>
      <c r="L26" s="186"/>
      <c r="M26" s="186"/>
      <c r="N26" s="186"/>
      <c r="O26" s="187"/>
    </row>
    <row r="27" spans="1:15" ht="30.75" thickBot="1">
      <c r="A27" s="67" t="s">
        <v>44</v>
      </c>
      <c r="B27" s="18">
        <f>(B25-B26)/B25</f>
        <v>1</v>
      </c>
      <c r="C27" s="16">
        <f t="shared" ref="C27:H27" si="17">(C25-C26)/C25</f>
        <v>0.71119774045005735</v>
      </c>
      <c r="D27" s="16">
        <f t="shared" si="17"/>
        <v>0.52873545435584313</v>
      </c>
      <c r="E27" s="16">
        <f t="shared" si="17"/>
        <v>0.44213319367923842</v>
      </c>
      <c r="F27" s="16">
        <f t="shared" si="17"/>
        <v>0.40517518385054746</v>
      </c>
      <c r="G27" s="16">
        <f t="shared" si="17"/>
        <v>0.3819251798489996</v>
      </c>
      <c r="H27" s="19">
        <f t="shared" si="17"/>
        <v>0.47226386806596704</v>
      </c>
      <c r="I27" s="188"/>
      <c r="J27" s="188"/>
      <c r="K27" s="188"/>
      <c r="L27" s="188"/>
      <c r="M27" s="188"/>
      <c r="N27" s="188"/>
      <c r="O27" s="189"/>
    </row>
    <row r="28" spans="1:15" ht="15.75" thickTop="1"/>
  </sheetData>
  <mergeCells count="17">
    <mergeCell ref="A11:A12"/>
    <mergeCell ref="B11:H11"/>
    <mergeCell ref="I11:O11"/>
    <mergeCell ref="I20:O27"/>
    <mergeCell ref="B14:H14"/>
    <mergeCell ref="A20:H20"/>
    <mergeCell ref="B18:H18"/>
    <mergeCell ref="B15:H15"/>
    <mergeCell ref="B17:H17"/>
    <mergeCell ref="B5:H5"/>
    <mergeCell ref="B6:H6"/>
    <mergeCell ref="B8:H8"/>
    <mergeCell ref="B9:H9"/>
    <mergeCell ref="A1:O1"/>
    <mergeCell ref="A2:A3"/>
    <mergeCell ref="B2:H2"/>
    <mergeCell ref="I2:O2"/>
  </mergeCells>
  <phoneticPr fontId="7" type="noConversion"/>
  <printOptions horizontalCentered="1" verticalCentered="1"/>
  <pageMargins left="0.7" right="0.7" top="0.75" bottom="0.75" header="0.3" footer="0.3"/>
  <pageSetup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view="pageBreakPreview" topLeftCell="A22" zoomScale="60" zoomScaleNormal="100" workbookViewId="0">
      <selection activeCell="B17" sqref="B17:H17"/>
    </sheetView>
  </sheetViews>
  <sheetFormatPr defaultRowHeight="15"/>
  <cols>
    <col min="1" max="1" width="23.42578125" customWidth="1"/>
    <col min="2" max="2" width="10.7109375" customWidth="1"/>
    <col min="3" max="3" width="9.7109375" customWidth="1"/>
    <col min="4" max="4" width="9" customWidth="1"/>
    <col min="5" max="5" width="9.42578125" customWidth="1"/>
    <col min="6" max="6" width="9.7109375" bestFit="1" customWidth="1"/>
    <col min="7" max="13" width="9.85546875" customWidth="1"/>
    <col min="14" max="14" width="11.7109375" customWidth="1"/>
    <col min="15" max="15" width="13.5703125" customWidth="1"/>
  </cols>
  <sheetData>
    <row r="1" spans="1:15" ht="49.5" customHeight="1" thickTop="1" thickBot="1">
      <c r="A1" s="120" t="s">
        <v>101</v>
      </c>
      <c r="B1" s="149"/>
      <c r="C1" s="149"/>
      <c r="D1" s="149"/>
      <c r="E1" s="149"/>
      <c r="F1" s="149"/>
      <c r="G1" s="149"/>
      <c r="H1" s="121"/>
      <c r="I1" s="149"/>
      <c r="J1" s="149"/>
      <c r="K1" s="149"/>
      <c r="L1" s="149"/>
      <c r="M1" s="149"/>
      <c r="N1" s="149"/>
      <c r="O1" s="150"/>
    </row>
    <row r="2" spans="1:15" ht="18" customHeight="1" thickTop="1" thickBot="1">
      <c r="A2" s="128" t="s">
        <v>22</v>
      </c>
      <c r="B2" s="71" t="s">
        <v>115</v>
      </c>
      <c r="C2" s="72"/>
      <c r="D2" s="72"/>
      <c r="E2" s="72"/>
      <c r="F2" s="72"/>
      <c r="G2" s="72"/>
      <c r="H2" s="73"/>
      <c r="I2" s="198" t="s">
        <v>124</v>
      </c>
      <c r="J2" s="199"/>
      <c r="K2" s="199"/>
      <c r="L2" s="199"/>
      <c r="M2" s="199"/>
      <c r="N2" s="199"/>
      <c r="O2" s="200"/>
    </row>
    <row r="3" spans="1:15" s="27" customFormat="1" ht="61.5" thickTop="1" thickBot="1">
      <c r="A3" s="128"/>
      <c r="B3" s="25" t="s">
        <v>23</v>
      </c>
      <c r="C3" s="25" t="s">
        <v>24</v>
      </c>
      <c r="D3" s="25" t="s">
        <v>25</v>
      </c>
      <c r="E3" s="25" t="s">
        <v>26</v>
      </c>
      <c r="F3" s="25" t="s">
        <v>27</v>
      </c>
      <c r="G3" s="25" t="s">
        <v>28</v>
      </c>
      <c r="H3" s="26" t="s">
        <v>29</v>
      </c>
      <c r="I3" s="25" t="s">
        <v>23</v>
      </c>
      <c r="J3" s="25" t="s">
        <v>24</v>
      </c>
      <c r="K3" s="25" t="s">
        <v>25</v>
      </c>
      <c r="L3" s="25" t="s">
        <v>26</v>
      </c>
      <c r="M3" s="25" t="s">
        <v>27</v>
      </c>
      <c r="N3" s="25" t="s">
        <v>28</v>
      </c>
      <c r="O3" s="26" t="s">
        <v>29</v>
      </c>
    </row>
    <row r="4" spans="1:15" ht="15.75" thickTop="1">
      <c r="A4" s="28" t="s">
        <v>30</v>
      </c>
      <c r="B4" s="29">
        <v>0.3</v>
      </c>
      <c r="C4" s="30">
        <v>9</v>
      </c>
      <c r="D4" s="30">
        <v>56.4</v>
      </c>
      <c r="E4" s="30">
        <v>234</v>
      </c>
      <c r="F4" s="30">
        <v>481.2</v>
      </c>
      <c r="G4" s="30">
        <v>770.8</v>
      </c>
      <c r="H4" s="31">
        <v>3404.9</v>
      </c>
      <c r="I4" s="29">
        <v>0</v>
      </c>
      <c r="J4" s="30">
        <v>2.4</v>
      </c>
      <c r="K4" s="30">
        <v>28.6</v>
      </c>
      <c r="L4" s="30">
        <v>149.5</v>
      </c>
      <c r="M4" s="30">
        <v>335.8</v>
      </c>
      <c r="N4" s="30">
        <v>567.70000000000005</v>
      </c>
      <c r="O4" s="31">
        <f>(10*I4)+(17*J4)+(12*K4)+(7*L4)+(1*M4)+(0*N4)</f>
        <v>1766.3</v>
      </c>
    </row>
    <row r="5" spans="1:15">
      <c r="A5" s="32" t="s">
        <v>31</v>
      </c>
      <c r="B5" s="151"/>
      <c r="C5" s="152"/>
      <c r="D5" s="152"/>
      <c r="E5" s="152"/>
      <c r="F5" s="152"/>
      <c r="G5" s="152"/>
      <c r="H5" s="153"/>
      <c r="I5" s="33">
        <f>B4-I4</f>
        <v>0.3</v>
      </c>
      <c r="J5" s="34">
        <f t="shared" ref="J5:O5" si="0">C4-J4</f>
        <v>6.6</v>
      </c>
      <c r="K5" s="34">
        <f t="shared" si="0"/>
        <v>27.799999999999997</v>
      </c>
      <c r="L5" s="34">
        <f t="shared" si="0"/>
        <v>84.5</v>
      </c>
      <c r="M5" s="34">
        <f t="shared" si="0"/>
        <v>145.39999999999998</v>
      </c>
      <c r="N5" s="34">
        <f t="shared" si="0"/>
        <v>203.09999999999991</v>
      </c>
      <c r="O5" s="14">
        <f t="shared" si="0"/>
        <v>1638.6000000000001</v>
      </c>
    </row>
    <row r="6" spans="1:15">
      <c r="A6" s="32" t="s">
        <v>32</v>
      </c>
      <c r="B6" s="146"/>
      <c r="C6" s="147"/>
      <c r="D6" s="147"/>
      <c r="E6" s="147"/>
      <c r="F6" s="147"/>
      <c r="G6" s="147"/>
      <c r="H6" s="148"/>
      <c r="I6" s="35">
        <v>0</v>
      </c>
      <c r="J6" s="36">
        <f t="shared" ref="J6:O6" si="1">J5/C4</f>
        <v>0.73333333333333328</v>
      </c>
      <c r="K6" s="36">
        <f t="shared" si="1"/>
        <v>0.49290780141843971</v>
      </c>
      <c r="L6" s="36">
        <f t="shared" si="1"/>
        <v>0.3611111111111111</v>
      </c>
      <c r="M6" s="36">
        <f t="shared" si="1"/>
        <v>0.3021612635078969</v>
      </c>
      <c r="N6" s="36">
        <f t="shared" si="1"/>
        <v>0.2634924753502853</v>
      </c>
      <c r="O6" s="12">
        <f t="shared" si="1"/>
        <v>0.48124761373314934</v>
      </c>
    </row>
    <row r="7" spans="1:15" ht="45">
      <c r="A7" s="32" t="s">
        <v>36</v>
      </c>
      <c r="B7" s="37">
        <f t="shared" ref="B7:G7" si="2">(B4*1233481855.4)*8.29</f>
        <v>3067669374.3797998</v>
      </c>
      <c r="C7" s="38">
        <f t="shared" si="2"/>
        <v>92030081231.393997</v>
      </c>
      <c r="D7" s="38">
        <f t="shared" si="2"/>
        <v>576721842383.40234</v>
      </c>
      <c r="E7" s="38">
        <f t="shared" si="2"/>
        <v>2392782112016.2441</v>
      </c>
      <c r="F7" s="38">
        <f t="shared" si="2"/>
        <v>4920541676505.1982</v>
      </c>
      <c r="G7" s="38">
        <f t="shared" si="2"/>
        <v>7881865179239.833</v>
      </c>
      <c r="H7" s="39">
        <v>34800000000000</v>
      </c>
      <c r="I7" s="37">
        <f t="shared" ref="I7:N7" si="3">(I4*1233481855.4)*5.88</f>
        <v>0</v>
      </c>
      <c r="J7" s="38">
        <f t="shared" si="3"/>
        <v>17406895943.4048</v>
      </c>
      <c r="K7" s="38">
        <f t="shared" si="3"/>
        <v>207432176658.9072</v>
      </c>
      <c r="L7" s="38">
        <f t="shared" si="3"/>
        <v>1084304559807.9241</v>
      </c>
      <c r="M7" s="38">
        <f t="shared" si="3"/>
        <v>2435514857414.7222</v>
      </c>
      <c r="N7" s="38">
        <f t="shared" si="3"/>
        <v>4117456177946.2109</v>
      </c>
      <c r="O7" s="39">
        <v>12000000000000</v>
      </c>
    </row>
    <row r="8" spans="1:15" ht="45">
      <c r="A8" s="40" t="s">
        <v>34</v>
      </c>
      <c r="B8" s="143"/>
      <c r="C8" s="144"/>
      <c r="D8" s="144"/>
      <c r="E8" s="144"/>
      <c r="F8" s="144"/>
      <c r="G8" s="144"/>
      <c r="H8" s="145"/>
      <c r="I8" s="37">
        <f>B7-I7</f>
        <v>3067669374.3797998</v>
      </c>
      <c r="J8" s="38">
        <f t="shared" ref="J8:O8" si="4">C7-J7</f>
        <v>74623185287.989197</v>
      </c>
      <c r="K8" s="38">
        <f t="shared" si="4"/>
        <v>369289665724.49512</v>
      </c>
      <c r="L8" s="38">
        <f t="shared" si="4"/>
        <v>1308477552208.3201</v>
      </c>
      <c r="M8" s="38">
        <f t="shared" si="4"/>
        <v>2485026819090.4761</v>
      </c>
      <c r="N8" s="38">
        <f t="shared" si="4"/>
        <v>3764409001293.6221</v>
      </c>
      <c r="O8" s="39">
        <f t="shared" si="4"/>
        <v>22800000000000</v>
      </c>
    </row>
    <row r="9" spans="1:15" ht="15.75" thickBot="1">
      <c r="A9" s="32" t="s">
        <v>35</v>
      </c>
      <c r="B9" s="195"/>
      <c r="C9" s="196"/>
      <c r="D9" s="196"/>
      <c r="E9" s="196"/>
      <c r="F9" s="196"/>
      <c r="G9" s="196"/>
      <c r="H9" s="197"/>
      <c r="I9" s="41">
        <v>0</v>
      </c>
      <c r="J9" s="16">
        <f t="shared" ref="J9:O9" si="5">J8/C7</f>
        <v>0.81085645355850422</v>
      </c>
      <c r="K9" s="16">
        <f t="shared" si="5"/>
        <v>0.64032543695300659</v>
      </c>
      <c r="L9" s="16">
        <f t="shared" si="5"/>
        <v>0.54684358665058308</v>
      </c>
      <c r="M9" s="16">
        <f t="shared" si="5"/>
        <v>0.50503114950861672</v>
      </c>
      <c r="N9" s="16">
        <f t="shared" si="5"/>
        <v>0.477603830525896</v>
      </c>
      <c r="O9" s="19">
        <f t="shared" si="5"/>
        <v>0.65517241379310343</v>
      </c>
    </row>
    <row r="10" spans="1:15" ht="6.75" customHeight="1" thickTop="1" thickBot="1">
      <c r="A10" s="42"/>
      <c r="B10" s="43"/>
      <c r="C10" s="43"/>
      <c r="D10" s="43"/>
      <c r="E10" s="43"/>
      <c r="F10" s="43"/>
      <c r="G10" s="43"/>
      <c r="H10" s="44"/>
      <c r="I10" s="45"/>
      <c r="J10" s="43"/>
      <c r="K10" s="43"/>
      <c r="L10" s="43"/>
      <c r="M10" s="43"/>
      <c r="N10" s="43"/>
      <c r="O10" s="46"/>
    </row>
    <row r="11" spans="1:15" ht="16.5" thickTop="1" thickBot="1">
      <c r="A11" s="128" t="s">
        <v>22</v>
      </c>
      <c r="B11" s="71" t="s">
        <v>116</v>
      </c>
      <c r="C11" s="72"/>
      <c r="D11" s="72"/>
      <c r="E11" s="72"/>
      <c r="F11" s="72"/>
      <c r="G11" s="72"/>
      <c r="H11" s="73"/>
      <c r="I11" s="198" t="s">
        <v>125</v>
      </c>
      <c r="J11" s="199"/>
      <c r="K11" s="199"/>
      <c r="L11" s="199"/>
      <c r="M11" s="199"/>
      <c r="N11" s="199"/>
      <c r="O11" s="200"/>
    </row>
    <row r="12" spans="1:15" ht="61.5" thickTop="1" thickBot="1">
      <c r="A12" s="128"/>
      <c r="B12" s="25" t="s">
        <v>23</v>
      </c>
      <c r="C12" s="25" t="s">
        <v>24</v>
      </c>
      <c r="D12" s="25" t="s">
        <v>25</v>
      </c>
      <c r="E12" s="25" t="s">
        <v>26</v>
      </c>
      <c r="F12" s="25" t="s">
        <v>27</v>
      </c>
      <c r="G12" s="25" t="s">
        <v>28</v>
      </c>
      <c r="H12" s="26" t="s">
        <v>29</v>
      </c>
      <c r="I12" s="25" t="s">
        <v>23</v>
      </c>
      <c r="J12" s="25" t="s">
        <v>24</v>
      </c>
      <c r="K12" s="25" t="s">
        <v>25</v>
      </c>
      <c r="L12" s="25" t="s">
        <v>26</v>
      </c>
      <c r="M12" s="25" t="s">
        <v>27</v>
      </c>
      <c r="N12" s="25" t="s">
        <v>28</v>
      </c>
      <c r="O12" s="26" t="s">
        <v>29</v>
      </c>
    </row>
    <row r="13" spans="1:15" ht="15.75" thickTop="1">
      <c r="A13" s="28" t="s">
        <v>30</v>
      </c>
      <c r="B13" s="29">
        <v>0</v>
      </c>
      <c r="C13" s="30">
        <v>4.3</v>
      </c>
      <c r="D13" s="30">
        <v>33</v>
      </c>
      <c r="E13" s="30">
        <v>149.30000000000001</v>
      </c>
      <c r="F13" s="30">
        <v>318</v>
      </c>
      <c r="G13" s="30">
        <v>520.6</v>
      </c>
      <c r="H13" s="31">
        <v>2107.6999999999998</v>
      </c>
      <c r="I13" s="29">
        <v>0</v>
      </c>
      <c r="J13" s="30">
        <v>1.8</v>
      </c>
      <c r="K13" s="30">
        <v>21.6</v>
      </c>
      <c r="L13" s="30">
        <v>113.3</v>
      </c>
      <c r="M13" s="30">
        <v>254.8</v>
      </c>
      <c r="N13" s="30">
        <v>430.9</v>
      </c>
      <c r="O13" s="31">
        <f>(10*I13)+(17*J13)+(12*K13)+(7*L13)+(1*M13)+(0*N13)</f>
        <v>1337.7</v>
      </c>
    </row>
    <row r="14" spans="1:15">
      <c r="A14" s="32" t="s">
        <v>31</v>
      </c>
      <c r="B14" s="201"/>
      <c r="C14" s="202"/>
      <c r="D14" s="202"/>
      <c r="E14" s="202"/>
      <c r="F14" s="202"/>
      <c r="G14" s="202"/>
      <c r="H14" s="203"/>
      <c r="I14" s="33">
        <f>B13-I13</f>
        <v>0</v>
      </c>
      <c r="J14" s="34">
        <f t="shared" ref="J14:O14" si="6">C13-J13</f>
        <v>2.5</v>
      </c>
      <c r="K14" s="34">
        <f t="shared" si="6"/>
        <v>11.399999999999999</v>
      </c>
      <c r="L14" s="34">
        <f t="shared" si="6"/>
        <v>36.000000000000014</v>
      </c>
      <c r="M14" s="34">
        <f t="shared" si="6"/>
        <v>63.199999999999989</v>
      </c>
      <c r="N14" s="34">
        <f t="shared" si="6"/>
        <v>89.700000000000045</v>
      </c>
      <c r="O14" s="14">
        <f t="shared" si="6"/>
        <v>769.99999999999977</v>
      </c>
    </row>
    <row r="15" spans="1:15">
      <c r="A15" s="32" t="s">
        <v>32</v>
      </c>
      <c r="B15" s="140"/>
      <c r="C15" s="141"/>
      <c r="D15" s="141"/>
      <c r="E15" s="141"/>
      <c r="F15" s="141"/>
      <c r="G15" s="141"/>
      <c r="H15" s="142"/>
      <c r="I15" s="35" t="s">
        <v>99</v>
      </c>
      <c r="J15" s="36">
        <f t="shared" ref="J15:O15" si="7">J14/C13</f>
        <v>0.58139534883720934</v>
      </c>
      <c r="K15" s="36">
        <f t="shared" si="7"/>
        <v>0.3454545454545454</v>
      </c>
      <c r="L15" s="36">
        <f t="shared" si="7"/>
        <v>0.24112525117213671</v>
      </c>
      <c r="M15" s="36">
        <f t="shared" si="7"/>
        <v>0.19874213836477983</v>
      </c>
      <c r="N15" s="36">
        <f t="shared" si="7"/>
        <v>0.1723011909335383</v>
      </c>
      <c r="O15" s="12">
        <f t="shared" si="7"/>
        <v>0.36532713384257715</v>
      </c>
    </row>
    <row r="16" spans="1:15" ht="45">
      <c r="A16" s="32" t="s">
        <v>36</v>
      </c>
      <c r="B16" s="33">
        <f t="shared" ref="B16:G16" si="8">12.274*(B13*1233481855.4)</f>
        <v>0</v>
      </c>
      <c r="C16" s="34">
        <f t="shared" si="8"/>
        <v>65100952060.672279</v>
      </c>
      <c r="D16" s="34">
        <f t="shared" si="8"/>
        <v>499611957674.92682</v>
      </c>
      <c r="E16" s="34">
        <f t="shared" si="8"/>
        <v>2260365614571.7144</v>
      </c>
      <c r="F16" s="34">
        <f t="shared" si="8"/>
        <v>4814442501231.1123</v>
      </c>
      <c r="G16" s="34">
        <f t="shared" si="8"/>
        <v>7881757126229.3008</v>
      </c>
      <c r="H16" s="39">
        <v>31900000000000</v>
      </c>
      <c r="I16" s="33">
        <f t="shared" ref="I16:N16" si="9">8.882*(I13*1233481855.4)</f>
        <v>0</v>
      </c>
      <c r="J16" s="34">
        <f t="shared" si="9"/>
        <v>19720414511.393044</v>
      </c>
      <c r="K16" s="34">
        <f t="shared" si="9"/>
        <v>236644974136.71649</v>
      </c>
      <c r="L16" s="34">
        <f t="shared" si="9"/>
        <v>1241290535633.7952</v>
      </c>
      <c r="M16" s="34">
        <f t="shared" si="9"/>
        <v>2791534231946.0815</v>
      </c>
      <c r="N16" s="34">
        <f t="shared" si="9"/>
        <v>4720848118310.7002</v>
      </c>
      <c r="O16" s="39">
        <v>13100000000000</v>
      </c>
    </row>
    <row r="17" spans="1:15" ht="45">
      <c r="A17" s="40" t="s">
        <v>34</v>
      </c>
      <c r="B17" s="201"/>
      <c r="C17" s="202"/>
      <c r="D17" s="202"/>
      <c r="E17" s="202"/>
      <c r="F17" s="202"/>
      <c r="G17" s="202"/>
      <c r="H17" s="203"/>
      <c r="I17" s="33">
        <f>B16-I16</f>
        <v>0</v>
      </c>
      <c r="J17" s="34">
        <f t="shared" ref="J17:O17" si="10">C16-J16</f>
        <v>45380537549.279236</v>
      </c>
      <c r="K17" s="34">
        <f t="shared" si="10"/>
        <v>262966983538.21033</v>
      </c>
      <c r="L17" s="34">
        <f t="shared" si="10"/>
        <v>1019075078937.9192</v>
      </c>
      <c r="M17" s="34">
        <f t="shared" si="10"/>
        <v>2022908269285.0308</v>
      </c>
      <c r="N17" s="34">
        <f t="shared" si="10"/>
        <v>3160909007918.6006</v>
      </c>
      <c r="O17" s="14">
        <f t="shared" si="10"/>
        <v>18800000000000</v>
      </c>
    </row>
    <row r="18" spans="1:15" ht="15.75" thickBot="1">
      <c r="A18" s="50" t="s">
        <v>35</v>
      </c>
      <c r="B18" s="190"/>
      <c r="C18" s="191"/>
      <c r="D18" s="191"/>
      <c r="E18" s="191"/>
      <c r="F18" s="191"/>
      <c r="G18" s="191"/>
      <c r="H18" s="192"/>
      <c r="I18" s="18" t="s">
        <v>99</v>
      </c>
      <c r="J18" s="16">
        <f t="shared" ref="J18:O18" si="11">J17/C16</f>
        <v>0.69707947599577091</v>
      </c>
      <c r="K18" s="16">
        <f t="shared" si="11"/>
        <v>0.52634245337520558</v>
      </c>
      <c r="L18" s="16">
        <f t="shared" si="11"/>
        <v>0.45084524041966095</v>
      </c>
      <c r="M18" s="16">
        <f t="shared" si="11"/>
        <v>0.42017497742838306</v>
      </c>
      <c r="N18" s="16">
        <f t="shared" si="11"/>
        <v>0.40104115837312104</v>
      </c>
      <c r="O18" s="19">
        <f t="shared" si="11"/>
        <v>0.58934169278996862</v>
      </c>
    </row>
    <row r="19" spans="1:15" ht="3.75" customHeight="1" thickTop="1" thickBot="1">
      <c r="A19" s="51"/>
      <c r="B19" s="52"/>
      <c r="C19" s="52"/>
      <c r="D19" s="52"/>
      <c r="E19" s="52"/>
      <c r="F19" s="52"/>
      <c r="G19" s="52"/>
      <c r="H19" s="52"/>
      <c r="I19" s="75"/>
      <c r="J19" s="75"/>
      <c r="K19" s="75"/>
      <c r="L19" s="75"/>
      <c r="M19" s="75"/>
      <c r="N19" s="75"/>
      <c r="O19" s="76"/>
    </row>
    <row r="20" spans="1:15" ht="33.75" customHeight="1" thickTop="1" thickBot="1">
      <c r="A20" s="130" t="s">
        <v>37</v>
      </c>
      <c r="B20" s="131"/>
      <c r="C20" s="131"/>
      <c r="D20" s="131"/>
      <c r="E20" s="131"/>
      <c r="F20" s="131"/>
      <c r="G20" s="131"/>
      <c r="H20" s="164"/>
      <c r="I20" s="193"/>
      <c r="J20" s="193"/>
      <c r="K20" s="193"/>
      <c r="L20" s="193"/>
      <c r="M20" s="193"/>
      <c r="N20" s="193"/>
      <c r="O20" s="194"/>
    </row>
    <row r="21" spans="1:15" ht="30" customHeight="1" thickTop="1">
      <c r="A21" s="60" t="s">
        <v>38</v>
      </c>
      <c r="B21" s="47" t="s">
        <v>23</v>
      </c>
      <c r="C21" s="48" t="s">
        <v>24</v>
      </c>
      <c r="D21" s="48" t="s">
        <v>25</v>
      </c>
      <c r="E21" s="48" t="s">
        <v>26</v>
      </c>
      <c r="F21" s="48" t="s">
        <v>27</v>
      </c>
      <c r="G21" s="48" t="s">
        <v>28</v>
      </c>
      <c r="H21" s="10" t="s">
        <v>29</v>
      </c>
      <c r="I21" s="134"/>
      <c r="J21" s="134"/>
      <c r="K21" s="134"/>
      <c r="L21" s="134"/>
      <c r="M21" s="134"/>
      <c r="N21" s="134"/>
      <c r="O21" s="135"/>
    </row>
    <row r="22" spans="1:15" ht="36" customHeight="1">
      <c r="A22" s="60" t="s">
        <v>39</v>
      </c>
      <c r="B22" s="33">
        <f>B4+B13</f>
        <v>0.3</v>
      </c>
      <c r="C22" s="34">
        <f t="shared" ref="C22:H22" si="12">C4+C13</f>
        <v>13.3</v>
      </c>
      <c r="D22" s="34">
        <f t="shared" si="12"/>
        <v>89.4</v>
      </c>
      <c r="E22" s="34">
        <f t="shared" si="12"/>
        <v>383.3</v>
      </c>
      <c r="F22" s="34">
        <f t="shared" si="12"/>
        <v>799.2</v>
      </c>
      <c r="G22" s="34">
        <f t="shared" si="12"/>
        <v>1291.4000000000001</v>
      </c>
      <c r="H22" s="14">
        <f t="shared" si="12"/>
        <v>5512.6</v>
      </c>
      <c r="I22" s="134"/>
      <c r="J22" s="134"/>
      <c r="K22" s="134"/>
      <c r="L22" s="134"/>
      <c r="M22" s="134"/>
      <c r="N22" s="134"/>
      <c r="O22" s="135"/>
    </row>
    <row r="23" spans="1:15" ht="41.25" customHeight="1">
      <c r="A23" s="40" t="s">
        <v>45</v>
      </c>
      <c r="B23" s="64">
        <f t="shared" ref="B23:H23" si="13">I4+I13</f>
        <v>0</v>
      </c>
      <c r="C23" s="65">
        <f t="shared" si="13"/>
        <v>4.2</v>
      </c>
      <c r="D23" s="65">
        <f t="shared" si="13"/>
        <v>50.2</v>
      </c>
      <c r="E23" s="65">
        <f t="shared" si="13"/>
        <v>262.8</v>
      </c>
      <c r="F23" s="65">
        <f t="shared" si="13"/>
        <v>590.6</v>
      </c>
      <c r="G23" s="65">
        <f t="shared" si="13"/>
        <v>998.6</v>
      </c>
      <c r="H23" s="66">
        <f t="shared" si="13"/>
        <v>3104</v>
      </c>
      <c r="I23" s="134"/>
      <c r="J23" s="134"/>
      <c r="K23" s="134"/>
      <c r="L23" s="134"/>
      <c r="M23" s="134"/>
      <c r="N23" s="134"/>
      <c r="O23" s="135"/>
    </row>
    <row r="24" spans="1:15" ht="30">
      <c r="A24" s="40" t="s">
        <v>41</v>
      </c>
      <c r="B24" s="35">
        <f>(B22-B23)/B22</f>
        <v>1</v>
      </c>
      <c r="C24" s="36">
        <f t="shared" ref="C24:H24" si="14">(C22-C23)/C22</f>
        <v>0.68421052631578949</v>
      </c>
      <c r="D24" s="36">
        <f t="shared" si="14"/>
        <v>0.43847874720357943</v>
      </c>
      <c r="E24" s="36">
        <f t="shared" si="14"/>
        <v>0.31437516305765717</v>
      </c>
      <c r="F24" s="36">
        <f t="shared" si="14"/>
        <v>0.26101101101101104</v>
      </c>
      <c r="G24" s="36">
        <f t="shared" si="14"/>
        <v>0.22673067988229831</v>
      </c>
      <c r="H24" s="12">
        <f t="shared" si="14"/>
        <v>0.43692631426187284</v>
      </c>
      <c r="I24" s="134"/>
      <c r="J24" s="134"/>
      <c r="K24" s="134"/>
      <c r="L24" s="134"/>
      <c r="M24" s="134"/>
      <c r="N24" s="134"/>
      <c r="O24" s="135"/>
    </row>
    <row r="25" spans="1:15" ht="27" customHeight="1">
      <c r="A25" s="40" t="s">
        <v>42</v>
      </c>
      <c r="B25" s="37">
        <f t="shared" ref="B25:H25" si="15">B7+B16</f>
        <v>3067669374.3797998</v>
      </c>
      <c r="C25" s="38">
        <f t="shared" si="15"/>
        <v>157131033292.06628</v>
      </c>
      <c r="D25" s="38">
        <f t="shared" si="15"/>
        <v>1076333800058.3291</v>
      </c>
      <c r="E25" s="38">
        <f t="shared" si="15"/>
        <v>4653147726587.959</v>
      </c>
      <c r="F25" s="38">
        <f t="shared" si="15"/>
        <v>9734984177736.3105</v>
      </c>
      <c r="G25" s="38">
        <f t="shared" si="15"/>
        <v>15763622305469.133</v>
      </c>
      <c r="H25" s="39">
        <f t="shared" si="15"/>
        <v>66700000000000</v>
      </c>
      <c r="I25" s="134"/>
      <c r="J25" s="134"/>
      <c r="K25" s="134"/>
      <c r="L25" s="134"/>
      <c r="M25" s="134"/>
      <c r="N25" s="134"/>
      <c r="O25" s="135"/>
    </row>
    <row r="26" spans="1:15" ht="30.75" customHeight="1">
      <c r="A26" s="40" t="s">
        <v>46</v>
      </c>
      <c r="B26" s="37">
        <f t="shared" ref="B26:H26" si="16">I16+I7</f>
        <v>0</v>
      </c>
      <c r="C26" s="38">
        <f t="shared" si="16"/>
        <v>37127310454.797844</v>
      </c>
      <c r="D26" s="38">
        <f t="shared" si="16"/>
        <v>444077150795.62366</v>
      </c>
      <c r="E26" s="38">
        <f t="shared" si="16"/>
        <v>2325595095441.7192</v>
      </c>
      <c r="F26" s="38">
        <f t="shared" si="16"/>
        <v>5227049089360.8037</v>
      </c>
      <c r="G26" s="38">
        <f t="shared" si="16"/>
        <v>8838304296256.9102</v>
      </c>
      <c r="H26" s="39">
        <f t="shared" si="16"/>
        <v>25100000000000</v>
      </c>
      <c r="I26" s="134"/>
      <c r="J26" s="134"/>
      <c r="K26" s="134"/>
      <c r="L26" s="134"/>
      <c r="M26" s="134"/>
      <c r="N26" s="134"/>
      <c r="O26" s="135"/>
    </row>
    <row r="27" spans="1:15" ht="30.75" thickBot="1">
      <c r="A27" s="67" t="s">
        <v>44</v>
      </c>
      <c r="B27" s="18">
        <f>(B25-B26)/B25</f>
        <v>1</v>
      </c>
      <c r="C27" s="16">
        <f t="shared" ref="C27:H27" si="17">(C25-C26)/C25</f>
        <v>0.76371751857707382</v>
      </c>
      <c r="D27" s="16">
        <f t="shared" si="17"/>
        <v>0.58741688612625742</v>
      </c>
      <c r="E27" s="16">
        <f t="shared" si="17"/>
        <v>0.50021034532101094</v>
      </c>
      <c r="F27" s="16">
        <f t="shared" si="17"/>
        <v>0.4630654766429978</v>
      </c>
      <c r="G27" s="16">
        <f t="shared" si="17"/>
        <v>0.43932275685199007</v>
      </c>
      <c r="H27" s="19">
        <f t="shared" si="17"/>
        <v>0.62368815592203897</v>
      </c>
      <c r="I27" s="136"/>
      <c r="J27" s="136"/>
      <c r="K27" s="136"/>
      <c r="L27" s="136"/>
      <c r="M27" s="136"/>
      <c r="N27" s="136"/>
      <c r="O27" s="137"/>
    </row>
    <row r="28" spans="1:15" ht="15.75" thickTop="1"/>
  </sheetData>
  <mergeCells count="15">
    <mergeCell ref="B8:H8"/>
    <mergeCell ref="A1:O1"/>
    <mergeCell ref="A2:A3"/>
    <mergeCell ref="I2:O2"/>
    <mergeCell ref="B5:H5"/>
    <mergeCell ref="B6:H6"/>
    <mergeCell ref="B18:H18"/>
    <mergeCell ref="A20:H20"/>
    <mergeCell ref="I20:O27"/>
    <mergeCell ref="B9:H9"/>
    <mergeCell ref="A11:A12"/>
    <mergeCell ref="I11:O11"/>
    <mergeCell ref="B14:H14"/>
    <mergeCell ref="B15:H15"/>
    <mergeCell ref="B17:H17"/>
  </mergeCells>
  <phoneticPr fontId="7" type="noConversion"/>
  <printOptions horizontalCentered="1" verticalCentered="1"/>
  <pageMargins left="0.7" right="0.7" top="0.75" bottom="0.75" header="0.3" footer="0.3"/>
  <pageSetup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view="pageBreakPreview" topLeftCell="A14" zoomScale="60" zoomScaleNormal="100" workbookViewId="0">
      <selection activeCell="H26" sqref="H26"/>
    </sheetView>
  </sheetViews>
  <sheetFormatPr defaultRowHeight="15"/>
  <cols>
    <col min="1" max="1" width="19.5703125" customWidth="1"/>
    <col min="2" max="2" width="10.5703125" customWidth="1"/>
    <col min="3" max="3" width="9.7109375" customWidth="1"/>
    <col min="4" max="4" width="9" customWidth="1"/>
    <col min="5" max="5" width="9.42578125" customWidth="1"/>
    <col min="6" max="6" width="9.7109375" bestFit="1" customWidth="1"/>
    <col min="7" max="7" width="9.5703125" customWidth="1"/>
    <col min="8" max="13" width="9.85546875" customWidth="1"/>
    <col min="14" max="14" width="11.7109375" customWidth="1"/>
    <col min="15" max="15" width="12" customWidth="1"/>
    <col min="17" max="17" width="8.7109375" customWidth="1"/>
  </cols>
  <sheetData>
    <row r="1" spans="1:17" ht="60" customHeight="1" thickTop="1" thickBot="1">
      <c r="A1" s="138" t="s">
        <v>100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7" ht="18" customHeight="1" thickTop="1" thickBot="1">
      <c r="A2" s="128" t="s">
        <v>22</v>
      </c>
      <c r="B2" s="129" t="s">
        <v>115</v>
      </c>
      <c r="C2" s="129"/>
      <c r="D2" s="129"/>
      <c r="E2" s="129"/>
      <c r="F2" s="129"/>
      <c r="G2" s="129"/>
      <c r="H2" s="129"/>
      <c r="I2" s="198" t="s">
        <v>126</v>
      </c>
      <c r="J2" s="199"/>
      <c r="K2" s="199"/>
      <c r="L2" s="199"/>
      <c r="M2" s="199"/>
      <c r="N2" s="199"/>
      <c r="O2" s="200"/>
    </row>
    <row r="3" spans="1:17" s="27" customFormat="1" ht="61.5" thickTop="1" thickBot="1">
      <c r="A3" s="128"/>
      <c r="B3" s="25" t="s">
        <v>23</v>
      </c>
      <c r="C3" s="25" t="s">
        <v>24</v>
      </c>
      <c r="D3" s="25" t="s">
        <v>25</v>
      </c>
      <c r="E3" s="25" t="s">
        <v>26</v>
      </c>
      <c r="F3" s="25" t="s">
        <v>27</v>
      </c>
      <c r="G3" s="25" t="s">
        <v>28</v>
      </c>
      <c r="H3" s="26" t="s">
        <v>29</v>
      </c>
      <c r="I3" s="25" t="s">
        <v>23</v>
      </c>
      <c r="J3" s="25" t="s">
        <v>24</v>
      </c>
      <c r="K3" s="25" t="s">
        <v>25</v>
      </c>
      <c r="L3" s="25" t="s">
        <v>26</v>
      </c>
      <c r="M3" s="25" t="s">
        <v>27</v>
      </c>
      <c r="N3" s="25" t="s">
        <v>28</v>
      </c>
      <c r="O3" s="26" t="s">
        <v>29</v>
      </c>
    </row>
    <row r="4" spans="1:17" ht="30.75" thickTop="1">
      <c r="A4" s="28" t="s">
        <v>30</v>
      </c>
      <c r="B4" s="29">
        <v>0.3</v>
      </c>
      <c r="C4" s="30">
        <v>9</v>
      </c>
      <c r="D4" s="30">
        <v>56.4</v>
      </c>
      <c r="E4" s="30">
        <v>234</v>
      </c>
      <c r="F4" s="30">
        <v>481.2</v>
      </c>
      <c r="G4" s="30">
        <v>770.8</v>
      </c>
      <c r="H4" s="31">
        <v>3404.9</v>
      </c>
      <c r="I4" s="29">
        <v>0</v>
      </c>
      <c r="J4" s="30">
        <v>0.4</v>
      </c>
      <c r="K4" s="30">
        <v>16.399999999999999</v>
      </c>
      <c r="L4" s="30">
        <v>106.5</v>
      </c>
      <c r="M4" s="30">
        <v>256.10000000000002</v>
      </c>
      <c r="N4" s="30">
        <v>450.2</v>
      </c>
      <c r="O4" s="31">
        <v>1374.5</v>
      </c>
    </row>
    <row r="5" spans="1:17" ht="30">
      <c r="A5" s="32" t="s">
        <v>31</v>
      </c>
      <c r="B5" s="201"/>
      <c r="C5" s="202"/>
      <c r="D5" s="202"/>
      <c r="E5" s="202"/>
      <c r="F5" s="202"/>
      <c r="G5" s="202"/>
      <c r="H5" s="203"/>
      <c r="I5" s="33">
        <f>B4-I4</f>
        <v>0.3</v>
      </c>
      <c r="J5" s="34">
        <f t="shared" ref="J5:O5" si="0">C4-J4</f>
        <v>8.6</v>
      </c>
      <c r="K5" s="34">
        <f t="shared" si="0"/>
        <v>40</v>
      </c>
      <c r="L5" s="34">
        <f t="shared" si="0"/>
        <v>127.5</v>
      </c>
      <c r="M5" s="34">
        <f t="shared" si="0"/>
        <v>225.09999999999997</v>
      </c>
      <c r="N5" s="34">
        <f t="shared" si="0"/>
        <v>320.59999999999997</v>
      </c>
      <c r="O5" s="14">
        <f t="shared" si="0"/>
        <v>2030.4</v>
      </c>
    </row>
    <row r="6" spans="1:17">
      <c r="A6" s="32" t="s">
        <v>32</v>
      </c>
      <c r="B6" s="140"/>
      <c r="C6" s="141"/>
      <c r="D6" s="141"/>
      <c r="E6" s="141"/>
      <c r="F6" s="141"/>
      <c r="G6" s="141"/>
      <c r="H6" s="142"/>
      <c r="I6" s="35">
        <v>0</v>
      </c>
      <c r="J6" s="36">
        <f t="shared" ref="J6:O6" si="1">J5/C4</f>
        <v>0.95555555555555549</v>
      </c>
      <c r="K6" s="36">
        <f t="shared" si="1"/>
        <v>0.70921985815602839</v>
      </c>
      <c r="L6" s="36">
        <f t="shared" si="1"/>
        <v>0.54487179487179482</v>
      </c>
      <c r="M6" s="36">
        <f t="shared" si="1"/>
        <v>0.46778886118038232</v>
      </c>
      <c r="N6" s="36">
        <f t="shared" si="1"/>
        <v>0.41593149974052929</v>
      </c>
      <c r="O6" s="12">
        <f t="shared" si="1"/>
        <v>0.59631707245440391</v>
      </c>
    </row>
    <row r="7" spans="1:17">
      <c r="A7" s="32" t="s">
        <v>33</v>
      </c>
      <c r="B7" s="37">
        <f t="shared" ref="B7:G7" si="2">(B4*1233481855.4)*8.29</f>
        <v>3067669374.3797998</v>
      </c>
      <c r="C7" s="38">
        <f t="shared" si="2"/>
        <v>92030081231.393997</v>
      </c>
      <c r="D7" s="38">
        <f t="shared" si="2"/>
        <v>576721842383.40234</v>
      </c>
      <c r="E7" s="38">
        <f t="shared" si="2"/>
        <v>2392782112016.2441</v>
      </c>
      <c r="F7" s="38">
        <f t="shared" si="2"/>
        <v>4920541676505.1982</v>
      </c>
      <c r="G7" s="38">
        <f t="shared" si="2"/>
        <v>7881865179239.833</v>
      </c>
      <c r="H7" s="39">
        <v>34800000000000</v>
      </c>
      <c r="I7" s="37">
        <f t="shared" ref="I7:N7" si="3">(I4*1233481855.4)*5.68</f>
        <v>0</v>
      </c>
      <c r="J7" s="38">
        <f t="shared" si="3"/>
        <v>2802470775.4688005</v>
      </c>
      <c r="K7" s="38">
        <f t="shared" si="3"/>
        <v>114901301794.22079</v>
      </c>
      <c r="L7" s="38">
        <f t="shared" si="3"/>
        <v>746157843968.56799</v>
      </c>
      <c r="M7" s="38">
        <f t="shared" si="3"/>
        <v>1794281913993.8994</v>
      </c>
      <c r="N7" s="38">
        <f t="shared" si="3"/>
        <v>3154180857790.1348</v>
      </c>
      <c r="O7" s="39">
        <v>9950000000000</v>
      </c>
    </row>
    <row r="8" spans="1:17" ht="45">
      <c r="A8" s="40" t="s">
        <v>34</v>
      </c>
      <c r="B8" s="207"/>
      <c r="C8" s="208"/>
      <c r="D8" s="208"/>
      <c r="E8" s="208"/>
      <c r="F8" s="208"/>
      <c r="G8" s="208"/>
      <c r="H8" s="209"/>
      <c r="I8" s="37">
        <f>B7-I7</f>
        <v>3067669374.3797998</v>
      </c>
      <c r="J8" s="38">
        <f t="shared" ref="J8:O8" si="4">C7-J7</f>
        <v>89227610455.925201</v>
      </c>
      <c r="K8" s="38">
        <f t="shared" si="4"/>
        <v>461820540589.18152</v>
      </c>
      <c r="L8" s="38">
        <f t="shared" si="4"/>
        <v>1646624268047.6763</v>
      </c>
      <c r="M8" s="38">
        <f t="shared" si="4"/>
        <v>3126259762511.2988</v>
      </c>
      <c r="N8" s="38">
        <f t="shared" si="4"/>
        <v>4727684321449.6982</v>
      </c>
      <c r="O8" s="39">
        <f t="shared" si="4"/>
        <v>24850000000000</v>
      </c>
    </row>
    <row r="9" spans="1:17" ht="15.75" thickBot="1">
      <c r="A9" s="32" t="s">
        <v>35</v>
      </c>
      <c r="B9" s="204"/>
      <c r="C9" s="205"/>
      <c r="D9" s="205"/>
      <c r="E9" s="205"/>
      <c r="F9" s="205"/>
      <c r="G9" s="205"/>
      <c r="H9" s="206"/>
      <c r="I9" s="41">
        <v>0</v>
      </c>
      <c r="J9" s="16">
        <f t="shared" ref="J9:O9" si="5">J8/C7</f>
        <v>0.96954831791984997</v>
      </c>
      <c r="K9" s="16">
        <f t="shared" si="5"/>
        <v>0.80076825022029441</v>
      </c>
      <c r="L9" s="16">
        <f t="shared" si="5"/>
        <v>0.68816306331384747</v>
      </c>
      <c r="M9" s="16">
        <f t="shared" si="5"/>
        <v>0.63534870102588314</v>
      </c>
      <c r="N9" s="16">
        <f t="shared" si="5"/>
        <v>0.59981796363404172</v>
      </c>
      <c r="O9" s="19">
        <f t="shared" si="5"/>
        <v>0.71408045977011492</v>
      </c>
    </row>
    <row r="10" spans="1:17" ht="6.75" customHeight="1" thickTop="1" thickBot="1">
      <c r="A10" s="42"/>
      <c r="B10" s="43"/>
      <c r="C10" s="43"/>
      <c r="D10" s="43"/>
      <c r="E10" s="43"/>
      <c r="F10" s="43"/>
      <c r="G10" s="43"/>
      <c r="H10" s="44"/>
      <c r="I10" s="45"/>
      <c r="J10" s="43"/>
      <c r="K10" s="43"/>
      <c r="L10" s="43"/>
      <c r="M10" s="43"/>
      <c r="N10" s="43"/>
      <c r="O10" s="46"/>
    </row>
    <row r="11" spans="1:17" ht="18" thickTop="1" thickBot="1">
      <c r="A11" s="128" t="s">
        <v>22</v>
      </c>
      <c r="B11" s="129" t="s">
        <v>116</v>
      </c>
      <c r="C11" s="129"/>
      <c r="D11" s="129"/>
      <c r="E11" s="129"/>
      <c r="F11" s="129"/>
      <c r="G11" s="129"/>
      <c r="H11" s="129"/>
      <c r="I11" s="198" t="s">
        <v>127</v>
      </c>
      <c r="J11" s="199"/>
      <c r="K11" s="199"/>
      <c r="L11" s="199"/>
      <c r="M11" s="199"/>
      <c r="N11" s="199"/>
      <c r="O11" s="200"/>
    </row>
    <row r="12" spans="1:17" ht="61.5" thickTop="1" thickBot="1">
      <c r="A12" s="128"/>
      <c r="B12" s="25" t="s">
        <v>23</v>
      </c>
      <c r="C12" s="25" t="s">
        <v>24</v>
      </c>
      <c r="D12" s="25" t="s">
        <v>25</v>
      </c>
      <c r="E12" s="25" t="s">
        <v>26</v>
      </c>
      <c r="F12" s="25" t="s">
        <v>27</v>
      </c>
      <c r="G12" s="25" t="s">
        <v>28</v>
      </c>
      <c r="H12" s="26" t="s">
        <v>29</v>
      </c>
      <c r="I12" s="25" t="s">
        <v>23</v>
      </c>
      <c r="J12" s="25" t="s">
        <v>24</v>
      </c>
      <c r="K12" s="25" t="s">
        <v>25</v>
      </c>
      <c r="L12" s="25" t="s">
        <v>26</v>
      </c>
      <c r="M12" s="25" t="s">
        <v>27</v>
      </c>
      <c r="N12" s="25" t="s">
        <v>28</v>
      </c>
      <c r="O12" s="26" t="s">
        <v>29</v>
      </c>
    </row>
    <row r="13" spans="1:17" ht="30.75" thickTop="1">
      <c r="A13" s="28" t="s">
        <v>30</v>
      </c>
      <c r="B13" s="29">
        <v>0</v>
      </c>
      <c r="C13" s="30">
        <v>4.3</v>
      </c>
      <c r="D13" s="30">
        <v>33</v>
      </c>
      <c r="E13" s="30">
        <v>149.30000000000001</v>
      </c>
      <c r="F13" s="30">
        <v>318</v>
      </c>
      <c r="G13" s="30">
        <v>520.6</v>
      </c>
      <c r="H13" s="31">
        <v>2107.6999999999998</v>
      </c>
      <c r="I13" s="47">
        <v>0</v>
      </c>
      <c r="J13" s="48">
        <v>0.4</v>
      </c>
      <c r="K13" s="48">
        <v>12.9</v>
      </c>
      <c r="L13" s="48">
        <v>82.8</v>
      </c>
      <c r="M13" s="48">
        <v>198.4</v>
      </c>
      <c r="N13" s="48">
        <v>347.8</v>
      </c>
      <c r="O13" s="49">
        <v>1072.2</v>
      </c>
      <c r="Q13" t="s">
        <v>87</v>
      </c>
    </row>
    <row r="14" spans="1:17" ht="30">
      <c r="A14" s="32" t="s">
        <v>31</v>
      </c>
      <c r="B14" s="201"/>
      <c r="C14" s="202"/>
      <c r="D14" s="202"/>
      <c r="E14" s="202"/>
      <c r="F14" s="202"/>
      <c r="G14" s="202"/>
      <c r="H14" s="203"/>
      <c r="I14" s="33">
        <f>B13-I13</f>
        <v>0</v>
      </c>
      <c r="J14" s="34">
        <f t="shared" ref="J14:O14" si="6">C13-J13</f>
        <v>3.9</v>
      </c>
      <c r="K14" s="34">
        <f t="shared" si="6"/>
        <v>20.100000000000001</v>
      </c>
      <c r="L14" s="34">
        <f t="shared" si="6"/>
        <v>66.500000000000014</v>
      </c>
      <c r="M14" s="34">
        <f t="shared" si="6"/>
        <v>119.6</v>
      </c>
      <c r="N14" s="34">
        <f t="shared" si="6"/>
        <v>172.8</v>
      </c>
      <c r="O14" s="14">
        <f t="shared" si="6"/>
        <v>1035.4999999999998</v>
      </c>
    </row>
    <row r="15" spans="1:17">
      <c r="A15" s="32" t="s">
        <v>32</v>
      </c>
      <c r="B15" s="140"/>
      <c r="C15" s="141"/>
      <c r="D15" s="141"/>
      <c r="E15" s="141"/>
      <c r="F15" s="141"/>
      <c r="G15" s="141"/>
      <c r="H15" s="142"/>
      <c r="I15" s="35" t="s">
        <v>99</v>
      </c>
      <c r="J15" s="36">
        <f t="shared" ref="J15:O15" si="7">J14/C13</f>
        <v>0.90697674418604657</v>
      </c>
      <c r="K15" s="36">
        <f t="shared" si="7"/>
        <v>0.60909090909090913</v>
      </c>
      <c r="L15" s="36">
        <f t="shared" si="7"/>
        <v>0.44541192230408577</v>
      </c>
      <c r="M15" s="36">
        <f t="shared" si="7"/>
        <v>0.37610062893081758</v>
      </c>
      <c r="N15" s="36">
        <f t="shared" si="7"/>
        <v>0.33192470226661547</v>
      </c>
      <c r="O15" s="12">
        <f t="shared" si="7"/>
        <v>0.49129382739479044</v>
      </c>
    </row>
    <row r="16" spans="1:17" ht="60">
      <c r="A16" s="32" t="s">
        <v>36</v>
      </c>
      <c r="B16" s="33">
        <f t="shared" ref="B16:G16" si="8">12.274*(B13*1233481855.4)</f>
        <v>0</v>
      </c>
      <c r="C16" s="34">
        <f t="shared" si="8"/>
        <v>65100952060.672279</v>
      </c>
      <c r="D16" s="34">
        <f t="shared" si="8"/>
        <v>499611957674.92682</v>
      </c>
      <c r="E16" s="34">
        <f t="shared" si="8"/>
        <v>2260365614571.7144</v>
      </c>
      <c r="F16" s="34">
        <f t="shared" si="8"/>
        <v>4814442501231.1123</v>
      </c>
      <c r="G16" s="34">
        <f t="shared" si="8"/>
        <v>7881757126229.3008</v>
      </c>
      <c r="H16" s="39">
        <v>31900000000000</v>
      </c>
      <c r="I16" s="33">
        <f t="shared" ref="I16:N16" si="9">8.581*(I13*1233481855.4)</f>
        <v>0</v>
      </c>
      <c r="J16" s="34">
        <f t="shared" si="9"/>
        <v>4233803120.4749603</v>
      </c>
      <c r="K16" s="34">
        <f t="shared" si="9"/>
        <v>136540150635.31747</v>
      </c>
      <c r="L16" s="34">
        <f t="shared" si="9"/>
        <v>876397245938.31677</v>
      </c>
      <c r="M16" s="34">
        <f t="shared" si="9"/>
        <v>2099966347755.5801</v>
      </c>
      <c r="N16" s="34">
        <f t="shared" si="9"/>
        <v>3681291813252.978</v>
      </c>
      <c r="O16" s="39">
        <v>11300000000000</v>
      </c>
    </row>
    <row r="17" spans="1:15" ht="45">
      <c r="A17" s="40" t="s">
        <v>34</v>
      </c>
      <c r="B17" s="201"/>
      <c r="C17" s="202"/>
      <c r="D17" s="202"/>
      <c r="E17" s="202"/>
      <c r="F17" s="202"/>
      <c r="G17" s="202"/>
      <c r="H17" s="203"/>
      <c r="I17" s="33">
        <f>B16-I16</f>
        <v>0</v>
      </c>
      <c r="J17" s="34">
        <f t="shared" ref="J17:O17" si="10">C16-J16</f>
        <v>60867148940.197319</v>
      </c>
      <c r="K17" s="34">
        <f t="shared" si="10"/>
        <v>363071807039.60937</v>
      </c>
      <c r="L17" s="34">
        <f t="shared" si="10"/>
        <v>1383968368633.3975</v>
      </c>
      <c r="M17" s="34">
        <f t="shared" si="10"/>
        <v>2714476153475.5322</v>
      </c>
      <c r="N17" s="34">
        <f t="shared" si="10"/>
        <v>4200465312976.3228</v>
      </c>
      <c r="O17" s="14">
        <f t="shared" si="10"/>
        <v>20600000000000</v>
      </c>
    </row>
    <row r="18" spans="1:15" ht="15.75" thickBot="1">
      <c r="A18" s="50" t="s">
        <v>35</v>
      </c>
      <c r="B18" s="190"/>
      <c r="C18" s="191"/>
      <c r="D18" s="191"/>
      <c r="E18" s="191"/>
      <c r="F18" s="191"/>
      <c r="G18" s="191"/>
      <c r="H18" s="192"/>
      <c r="I18" s="18" t="s">
        <v>99</v>
      </c>
      <c r="J18" s="16">
        <f t="shared" ref="J18:O18" si="11">J17/C16</f>
        <v>0.93496557290699567</v>
      </c>
      <c r="K18" s="16">
        <f t="shared" si="11"/>
        <v>0.72670760069326146</v>
      </c>
      <c r="L18" s="16">
        <f t="shared" si="11"/>
        <v>0.61227633251518321</v>
      </c>
      <c r="M18" s="16">
        <f t="shared" si="11"/>
        <v>0.5638194147674227</v>
      </c>
      <c r="N18" s="16">
        <f t="shared" si="11"/>
        <v>0.53293513688690142</v>
      </c>
      <c r="O18" s="19">
        <f t="shared" si="11"/>
        <v>0.64576802507836994</v>
      </c>
    </row>
    <row r="19" spans="1:15" ht="7.5" customHeight="1" thickTop="1" thickBot="1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ht="32.25" customHeight="1" thickTop="1" thickBot="1">
      <c r="A20" s="130" t="s">
        <v>37</v>
      </c>
      <c r="B20" s="131"/>
      <c r="C20" s="131"/>
      <c r="D20" s="131"/>
      <c r="E20" s="131"/>
      <c r="F20" s="131"/>
      <c r="G20" s="131"/>
      <c r="H20" s="164"/>
      <c r="I20" s="54"/>
      <c r="J20" s="54"/>
      <c r="K20" s="54"/>
      <c r="L20" s="54"/>
      <c r="M20" s="54"/>
      <c r="N20" s="54"/>
      <c r="O20" s="55"/>
    </row>
    <row r="21" spans="1:15" ht="30" customHeight="1" thickTop="1" thickBot="1">
      <c r="A21" s="56" t="s">
        <v>38</v>
      </c>
      <c r="B21" s="25" t="s">
        <v>23</v>
      </c>
      <c r="C21" s="25" t="s">
        <v>24</v>
      </c>
      <c r="D21" s="25" t="s">
        <v>25</v>
      </c>
      <c r="E21" s="25" t="s">
        <v>26</v>
      </c>
      <c r="F21" s="25" t="s">
        <v>27</v>
      </c>
      <c r="G21" s="25" t="s">
        <v>28</v>
      </c>
      <c r="H21" s="26" t="s">
        <v>29</v>
      </c>
      <c r="I21" s="57"/>
      <c r="J21" s="58"/>
      <c r="K21" s="58"/>
      <c r="L21" s="58"/>
      <c r="M21" s="58"/>
      <c r="N21" s="58"/>
      <c r="O21" s="59"/>
    </row>
    <row r="22" spans="1:15" ht="30.75" thickTop="1">
      <c r="A22" s="60" t="s">
        <v>39</v>
      </c>
      <c r="B22" s="29">
        <f>B4+B13</f>
        <v>0.3</v>
      </c>
      <c r="C22" s="30">
        <f t="shared" ref="C22:H22" si="12">C4+C13</f>
        <v>13.3</v>
      </c>
      <c r="D22" s="30">
        <f t="shared" si="12"/>
        <v>89.4</v>
      </c>
      <c r="E22" s="30">
        <f t="shared" si="12"/>
        <v>383.3</v>
      </c>
      <c r="F22" s="30">
        <f t="shared" si="12"/>
        <v>799.2</v>
      </c>
      <c r="G22" s="30">
        <f t="shared" si="12"/>
        <v>1291.4000000000001</v>
      </c>
      <c r="H22" s="31">
        <f t="shared" si="12"/>
        <v>5512.6</v>
      </c>
      <c r="I22" s="61"/>
      <c r="J22" s="62"/>
      <c r="K22" s="62"/>
      <c r="L22" s="62"/>
      <c r="M22" s="62"/>
      <c r="N22" s="62"/>
      <c r="O22" s="63"/>
    </row>
    <row r="23" spans="1:15" ht="32.25" customHeight="1">
      <c r="A23" s="40" t="s">
        <v>40</v>
      </c>
      <c r="B23" s="64">
        <f t="shared" ref="B23:H23" si="13">I4+I13</f>
        <v>0</v>
      </c>
      <c r="C23" s="65">
        <f t="shared" si="13"/>
        <v>0.8</v>
      </c>
      <c r="D23" s="65">
        <f t="shared" si="13"/>
        <v>29.299999999999997</v>
      </c>
      <c r="E23" s="65">
        <f t="shared" si="13"/>
        <v>189.3</v>
      </c>
      <c r="F23" s="65">
        <f t="shared" si="13"/>
        <v>454.5</v>
      </c>
      <c r="G23" s="65">
        <f t="shared" si="13"/>
        <v>798</v>
      </c>
      <c r="H23" s="66">
        <f t="shared" si="13"/>
        <v>2446.6999999999998</v>
      </c>
      <c r="I23" s="61"/>
      <c r="J23" s="62"/>
      <c r="K23" s="62"/>
      <c r="L23" s="62"/>
      <c r="M23" s="62"/>
      <c r="N23" s="62"/>
      <c r="O23" s="63"/>
    </row>
    <row r="24" spans="1:15" ht="30">
      <c r="A24" s="40" t="s">
        <v>41</v>
      </c>
      <c r="B24" s="35">
        <f>(B22-B23)/B22</f>
        <v>1</v>
      </c>
      <c r="C24" s="36">
        <f t="shared" ref="C24:H24" si="14">(C22-C23)/C22</f>
        <v>0.93984962406015038</v>
      </c>
      <c r="D24" s="36">
        <f t="shared" si="14"/>
        <v>0.67225950782997768</v>
      </c>
      <c r="E24" s="36">
        <f t="shared" si="14"/>
        <v>0.50613096791025303</v>
      </c>
      <c r="F24" s="36">
        <f t="shared" si="14"/>
        <v>0.43130630630630634</v>
      </c>
      <c r="G24" s="36">
        <f t="shared" si="14"/>
        <v>0.3820659749109494</v>
      </c>
      <c r="H24" s="12">
        <f t="shared" si="14"/>
        <v>0.55616224648985968</v>
      </c>
      <c r="I24" s="61"/>
      <c r="J24" s="62"/>
      <c r="K24" s="62"/>
      <c r="L24" s="62"/>
      <c r="M24" s="62"/>
      <c r="N24" s="62"/>
      <c r="O24" s="63"/>
    </row>
    <row r="25" spans="1:15" ht="27" customHeight="1">
      <c r="A25" s="40" t="s">
        <v>42</v>
      </c>
      <c r="B25" s="37">
        <f t="shared" ref="B25:H25" si="15">B7+B16</f>
        <v>3067669374.3797998</v>
      </c>
      <c r="C25" s="38">
        <f t="shared" si="15"/>
        <v>157131033292.06628</v>
      </c>
      <c r="D25" s="38">
        <f t="shared" si="15"/>
        <v>1076333800058.3291</v>
      </c>
      <c r="E25" s="38">
        <f t="shared" si="15"/>
        <v>4653147726587.959</v>
      </c>
      <c r="F25" s="38">
        <f t="shared" si="15"/>
        <v>9734984177736.3105</v>
      </c>
      <c r="G25" s="38">
        <f t="shared" si="15"/>
        <v>15763622305469.133</v>
      </c>
      <c r="H25" s="39">
        <f t="shared" si="15"/>
        <v>66700000000000</v>
      </c>
      <c r="I25" s="61"/>
      <c r="J25" s="62"/>
      <c r="K25" s="62"/>
      <c r="L25" s="62"/>
      <c r="M25" s="62"/>
      <c r="N25" s="62"/>
      <c r="O25" s="63"/>
    </row>
    <row r="26" spans="1:15" ht="28.5" customHeight="1">
      <c r="A26" s="40" t="s">
        <v>43</v>
      </c>
      <c r="B26" s="37">
        <f t="shared" ref="B26:H26" si="16">I16+I7</f>
        <v>0</v>
      </c>
      <c r="C26" s="38">
        <f t="shared" si="16"/>
        <v>7036273895.9437609</v>
      </c>
      <c r="D26" s="38">
        <f t="shared" si="16"/>
        <v>251441452429.53827</v>
      </c>
      <c r="E26" s="38">
        <f t="shared" si="16"/>
        <v>1622555089906.8848</v>
      </c>
      <c r="F26" s="38">
        <f t="shared" si="16"/>
        <v>3894248261749.4795</v>
      </c>
      <c r="G26" s="38">
        <f t="shared" si="16"/>
        <v>6835472671043.1133</v>
      </c>
      <c r="H26" s="39">
        <f t="shared" si="16"/>
        <v>21250000000000</v>
      </c>
      <c r="I26" s="61"/>
      <c r="J26" s="62"/>
      <c r="K26" s="62"/>
      <c r="L26" s="62"/>
      <c r="M26" s="62"/>
      <c r="N26" s="62"/>
      <c r="O26" s="63"/>
    </row>
    <row r="27" spans="1:15" ht="30.75" thickBot="1">
      <c r="A27" s="67" t="s">
        <v>44</v>
      </c>
      <c r="B27" s="18">
        <f>(B25-B26)/B25</f>
        <v>1</v>
      </c>
      <c r="C27" s="16">
        <f t="shared" ref="C27:H27" si="17">(C25-C26)/C25</f>
        <v>0.95522034222950014</v>
      </c>
      <c r="D27" s="16">
        <f t="shared" si="17"/>
        <v>0.76639082372409739</v>
      </c>
      <c r="E27" s="16">
        <f t="shared" si="17"/>
        <v>0.65129946753341839</v>
      </c>
      <c r="F27" s="16">
        <f t="shared" si="17"/>
        <v>0.59997384786145436</v>
      </c>
      <c r="G27" s="16">
        <f t="shared" si="17"/>
        <v>0.56637677948731557</v>
      </c>
      <c r="H27" s="19">
        <f t="shared" si="17"/>
        <v>0.68140929535232386</v>
      </c>
      <c r="I27" s="68"/>
      <c r="J27" s="69"/>
      <c r="K27" s="69"/>
      <c r="L27" s="69"/>
      <c r="M27" s="69"/>
      <c r="N27" s="69"/>
      <c r="O27" s="70"/>
    </row>
    <row r="28" spans="1:15" ht="15.75" thickTop="1"/>
  </sheetData>
  <mergeCells count="16">
    <mergeCell ref="A20:H20"/>
    <mergeCell ref="I11:O11"/>
    <mergeCell ref="B14:H14"/>
    <mergeCell ref="A1:O1"/>
    <mergeCell ref="A2:A3"/>
    <mergeCell ref="B2:H2"/>
    <mergeCell ref="I2:O2"/>
    <mergeCell ref="B5:H5"/>
    <mergeCell ref="B6:H6"/>
    <mergeCell ref="B8:H8"/>
    <mergeCell ref="B17:H17"/>
    <mergeCell ref="B18:H18"/>
    <mergeCell ref="B9:H9"/>
    <mergeCell ref="A11:A12"/>
    <mergeCell ref="B11:H11"/>
    <mergeCell ref="B15:H15"/>
  </mergeCells>
  <phoneticPr fontId="7" type="noConversion"/>
  <printOptions horizontalCentered="1" verticalCentered="1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view="pageBreakPreview" zoomScale="60" zoomScaleNormal="100" workbookViewId="0">
      <selection activeCell="F17" sqref="F17"/>
    </sheetView>
  </sheetViews>
  <sheetFormatPr defaultRowHeight="15"/>
  <cols>
    <col min="1" max="1" width="22.28515625" customWidth="1"/>
    <col min="2" max="2" width="48.42578125" customWidth="1"/>
  </cols>
  <sheetData>
    <row r="1" spans="1:2" ht="19.5" thickTop="1" thickBot="1">
      <c r="A1" s="112" t="s">
        <v>88</v>
      </c>
      <c r="B1" s="100"/>
    </row>
    <row r="2" spans="1:2" ht="16.5" thickTop="1" thickBot="1">
      <c r="A2" s="101" t="s">
        <v>89</v>
      </c>
      <c r="B2" s="97" t="s">
        <v>90</v>
      </c>
    </row>
    <row r="3" spans="1:2" ht="17.25" thickTop="1">
      <c r="A3" s="102">
        <v>68.399999999999991</v>
      </c>
      <c r="B3" s="103" t="s">
        <v>91</v>
      </c>
    </row>
    <row r="4" spans="1:2" ht="16.5">
      <c r="A4" s="105">
        <v>32.35</v>
      </c>
      <c r="B4" s="104" t="s">
        <v>92</v>
      </c>
    </row>
    <row r="5" spans="1:2" ht="16.5">
      <c r="A5" s="105">
        <v>94.05</v>
      </c>
      <c r="B5" s="104" t="s">
        <v>8</v>
      </c>
    </row>
    <row r="6" spans="1:2" ht="16.5">
      <c r="A6" s="105">
        <v>82.199999999999989</v>
      </c>
      <c r="B6" s="104" t="s">
        <v>97</v>
      </c>
    </row>
    <row r="7" spans="1:2" ht="16.5">
      <c r="A7" s="105">
        <v>90.1</v>
      </c>
      <c r="B7" s="104" t="s">
        <v>96</v>
      </c>
    </row>
    <row r="8" spans="1:2" ht="16.5">
      <c r="A8" s="105">
        <v>77.249999999999986</v>
      </c>
      <c r="B8" s="104" t="s">
        <v>98</v>
      </c>
    </row>
    <row r="9" spans="1:2" ht="16.5">
      <c r="A9" s="105">
        <v>41.05</v>
      </c>
      <c r="B9" s="104" t="s">
        <v>93</v>
      </c>
    </row>
    <row r="10" spans="1:2" ht="16.5">
      <c r="A10" s="105">
        <v>78</v>
      </c>
      <c r="B10" s="104" t="s">
        <v>94</v>
      </c>
    </row>
    <row r="11" spans="1:2" ht="17.25" thickBot="1">
      <c r="A11" s="106">
        <v>100</v>
      </c>
      <c r="B11" s="107" t="s">
        <v>95</v>
      </c>
    </row>
    <row r="12" spans="1:2" ht="15.75" thickTop="1"/>
  </sheetData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"/>
  <sheetViews>
    <sheetView tabSelected="1" view="pageBreakPreview" zoomScale="60" zoomScaleNormal="100" workbookViewId="0">
      <selection activeCell="B5" sqref="B5"/>
    </sheetView>
  </sheetViews>
  <sheetFormatPr defaultRowHeight="15"/>
  <cols>
    <col min="1" max="1" width="16.7109375" customWidth="1"/>
    <col min="8" max="8" width="10.28515625" customWidth="1"/>
    <col min="9" max="9" width="12.7109375" customWidth="1"/>
  </cols>
  <sheetData>
    <row r="1" spans="1:9" s="27" customFormat="1" ht="72.75" customHeight="1" thickTop="1" thickBot="1">
      <c r="A1" s="125" t="s">
        <v>113</v>
      </c>
      <c r="B1" s="126"/>
      <c r="C1" s="126"/>
      <c r="D1" s="126"/>
      <c r="E1" s="126"/>
      <c r="F1" s="126"/>
      <c r="G1" s="126"/>
      <c r="H1" s="126"/>
      <c r="I1" s="127"/>
    </row>
    <row r="2" spans="1:9" s="83" customFormat="1" ht="67.5" customHeight="1" thickTop="1" thickBot="1">
      <c r="A2" s="78" t="s">
        <v>57</v>
      </c>
      <c r="B2" s="79" t="s">
        <v>58</v>
      </c>
      <c r="C2" s="80" t="s">
        <v>59</v>
      </c>
      <c r="D2" s="80" t="s">
        <v>60</v>
      </c>
      <c r="E2" s="81" t="s">
        <v>61</v>
      </c>
      <c r="F2" s="81" t="s">
        <v>62</v>
      </c>
      <c r="G2" s="81" t="s">
        <v>63</v>
      </c>
      <c r="H2" s="82" t="s">
        <v>64</v>
      </c>
      <c r="I2" s="78" t="s">
        <v>65</v>
      </c>
    </row>
    <row r="3" spans="1:9" ht="30.75" thickTop="1">
      <c r="A3" s="28" t="s">
        <v>66</v>
      </c>
      <c r="B3" s="6">
        <v>49</v>
      </c>
      <c r="C3" s="7">
        <v>21</v>
      </c>
      <c r="D3" s="7">
        <v>19</v>
      </c>
      <c r="E3" s="7">
        <v>10</v>
      </c>
      <c r="F3" s="7">
        <v>6</v>
      </c>
      <c r="G3" s="7">
        <v>0</v>
      </c>
      <c r="H3" s="4">
        <v>0</v>
      </c>
      <c r="I3" s="84">
        <f>SUM(B3:H3)</f>
        <v>105</v>
      </c>
    </row>
    <row r="4" spans="1:9" ht="30.75" thickBot="1">
      <c r="A4" s="50" t="s">
        <v>114</v>
      </c>
      <c r="B4" s="116">
        <v>12.37</v>
      </c>
      <c r="C4" s="117">
        <v>7.22</v>
      </c>
      <c r="D4" s="117">
        <v>12.84</v>
      </c>
      <c r="E4" s="117">
        <v>13.7</v>
      </c>
      <c r="F4" s="117">
        <v>13.56</v>
      </c>
      <c r="G4" s="117">
        <f>3*G3</f>
        <v>0</v>
      </c>
      <c r="H4" s="118">
        <v>0</v>
      </c>
      <c r="I4" s="119">
        <f>SUM(B4:H4)</f>
        <v>59.69</v>
      </c>
    </row>
    <row r="5" spans="1:9" ht="15.75" thickTop="1"/>
  </sheetData>
  <mergeCells count="1">
    <mergeCell ref="A1:I1"/>
  </mergeCells>
  <phoneticPr fontId="7" type="noConversion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view="pageBreakPreview" topLeftCell="A9" zoomScale="60" zoomScaleNormal="100" workbookViewId="0">
      <selection activeCell="H25" sqref="H25"/>
    </sheetView>
  </sheetViews>
  <sheetFormatPr defaultRowHeight="15"/>
  <cols>
    <col min="1" max="1" width="17.7109375" customWidth="1"/>
    <col min="2" max="2" width="10.7109375" customWidth="1"/>
    <col min="3" max="3" width="9.7109375" customWidth="1"/>
    <col min="4" max="4" width="9" customWidth="1"/>
    <col min="5" max="5" width="10.85546875" customWidth="1"/>
    <col min="6" max="6" width="9.7109375" bestFit="1" customWidth="1"/>
    <col min="7" max="9" width="9.85546875" customWidth="1"/>
    <col min="10" max="10" width="9" customWidth="1"/>
    <col min="11" max="13" width="9.85546875" customWidth="1"/>
    <col min="14" max="14" width="11.7109375" customWidth="1"/>
    <col min="15" max="15" width="12" customWidth="1"/>
  </cols>
  <sheetData>
    <row r="1" spans="1:15" ht="44.25" customHeight="1" thickTop="1" thickBot="1">
      <c r="A1" s="138" t="s">
        <v>67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</row>
    <row r="2" spans="1:15" ht="18" customHeight="1" thickTop="1" thickBot="1">
      <c r="A2" s="128" t="s">
        <v>22</v>
      </c>
      <c r="B2" s="129" t="s">
        <v>115</v>
      </c>
      <c r="C2" s="129"/>
      <c r="D2" s="129"/>
      <c r="E2" s="129"/>
      <c r="F2" s="129"/>
      <c r="G2" s="129"/>
      <c r="H2" s="129"/>
      <c r="I2" s="129" t="s">
        <v>68</v>
      </c>
      <c r="J2" s="129"/>
      <c r="K2" s="129"/>
      <c r="L2" s="129"/>
      <c r="M2" s="129"/>
      <c r="N2" s="129"/>
      <c r="O2" s="129"/>
    </row>
    <row r="3" spans="1:15" s="27" customFormat="1" ht="61.5" thickTop="1" thickBot="1">
      <c r="A3" s="128"/>
      <c r="B3" s="25" t="s">
        <v>23</v>
      </c>
      <c r="C3" s="25" t="s">
        <v>24</v>
      </c>
      <c r="D3" s="25" t="s">
        <v>25</v>
      </c>
      <c r="E3" s="25" t="s">
        <v>26</v>
      </c>
      <c r="F3" s="25" t="s">
        <v>27</v>
      </c>
      <c r="G3" s="25" t="s">
        <v>28</v>
      </c>
      <c r="H3" s="26" t="s">
        <v>29</v>
      </c>
      <c r="I3" s="25" t="s">
        <v>23</v>
      </c>
      <c r="J3" s="25" t="s">
        <v>24</v>
      </c>
      <c r="K3" s="25" t="s">
        <v>25</v>
      </c>
      <c r="L3" s="25" t="s">
        <v>26</v>
      </c>
      <c r="M3" s="25" t="s">
        <v>27</v>
      </c>
      <c r="N3" s="25" t="s">
        <v>28</v>
      </c>
      <c r="O3" s="26" t="s">
        <v>29</v>
      </c>
    </row>
    <row r="4" spans="1:15" ht="30.75" thickTop="1">
      <c r="A4" s="28" t="s">
        <v>30</v>
      </c>
      <c r="B4" s="29">
        <v>0.3</v>
      </c>
      <c r="C4" s="30">
        <v>9</v>
      </c>
      <c r="D4" s="30">
        <v>56.4</v>
      </c>
      <c r="E4" s="30">
        <v>234</v>
      </c>
      <c r="F4" s="30">
        <v>481.2</v>
      </c>
      <c r="G4" s="30">
        <v>770.8</v>
      </c>
      <c r="H4" s="31">
        <v>3404.9</v>
      </c>
      <c r="I4" s="29">
        <v>0</v>
      </c>
      <c r="J4" s="30">
        <v>0</v>
      </c>
      <c r="K4" s="30">
        <v>2.9</v>
      </c>
      <c r="L4" s="30">
        <v>47.1</v>
      </c>
      <c r="M4" s="30">
        <v>137</v>
      </c>
      <c r="N4" s="30">
        <v>264.7</v>
      </c>
      <c r="O4" s="31">
        <v>562.79999999999995</v>
      </c>
    </row>
    <row r="5" spans="1:15" ht="45">
      <c r="A5" s="32" t="s">
        <v>107</v>
      </c>
      <c r="B5" s="64">
        <f t="shared" ref="B5:H5" si="0">B4-I4</f>
        <v>0.3</v>
      </c>
      <c r="C5" s="65">
        <f t="shared" si="0"/>
        <v>9</v>
      </c>
      <c r="D5" s="65">
        <f t="shared" si="0"/>
        <v>53.5</v>
      </c>
      <c r="E5" s="65">
        <f t="shared" si="0"/>
        <v>186.9</v>
      </c>
      <c r="F5" s="65">
        <f t="shared" si="0"/>
        <v>344.2</v>
      </c>
      <c r="G5" s="65">
        <f t="shared" si="0"/>
        <v>506.09999999999997</v>
      </c>
      <c r="H5" s="66">
        <f t="shared" si="0"/>
        <v>2842.1000000000004</v>
      </c>
      <c r="I5" s="140"/>
      <c r="J5" s="141"/>
      <c r="K5" s="141"/>
      <c r="L5" s="141"/>
      <c r="M5" s="141"/>
      <c r="N5" s="141"/>
      <c r="O5" s="142"/>
    </row>
    <row r="6" spans="1:15" ht="30">
      <c r="A6" s="32" t="s">
        <v>69</v>
      </c>
      <c r="B6" s="35"/>
      <c r="C6" s="36"/>
      <c r="D6" s="36">
        <f>D5/K4</f>
        <v>18.448275862068964</v>
      </c>
      <c r="E6" s="36">
        <f>E5/L4</f>
        <v>3.968152866242038</v>
      </c>
      <c r="F6" s="36">
        <f>F5/M4</f>
        <v>2.5124087591240873</v>
      </c>
      <c r="G6" s="36">
        <f>G5/N4</f>
        <v>1.9119758216849263</v>
      </c>
      <c r="H6" s="36">
        <f>H5/O4</f>
        <v>5.0499289267945997</v>
      </c>
      <c r="I6" s="140"/>
      <c r="J6" s="141"/>
      <c r="K6" s="141"/>
      <c r="L6" s="141"/>
      <c r="M6" s="141"/>
      <c r="N6" s="141"/>
      <c r="O6" s="142"/>
    </row>
    <row r="7" spans="1:15" ht="45">
      <c r="A7" s="32" t="s">
        <v>109</v>
      </c>
      <c r="B7" s="37">
        <f t="shared" ref="B7:G7" si="1">(B4*1233481855.4)*8.29</f>
        <v>3067669374.3797998</v>
      </c>
      <c r="C7" s="38">
        <f t="shared" si="1"/>
        <v>92030081231.393997</v>
      </c>
      <c r="D7" s="38">
        <f t="shared" si="1"/>
        <v>576721842383.40234</v>
      </c>
      <c r="E7" s="38">
        <f t="shared" si="1"/>
        <v>2392782112016.2441</v>
      </c>
      <c r="F7" s="38">
        <f t="shared" si="1"/>
        <v>4920541676505.1982</v>
      </c>
      <c r="G7" s="38">
        <f t="shared" si="1"/>
        <v>7881865179239.833</v>
      </c>
      <c r="H7" s="39">
        <v>38000000000000</v>
      </c>
      <c r="I7" s="37">
        <f t="shared" ref="I7:N7" si="2">(I4*1233481855.4)*4.78</f>
        <v>0</v>
      </c>
      <c r="J7" s="38">
        <f t="shared" si="2"/>
        <v>0</v>
      </c>
      <c r="K7" s="38">
        <f t="shared" si="2"/>
        <v>17098525479.554802</v>
      </c>
      <c r="L7" s="38">
        <f t="shared" si="2"/>
        <v>277703637961.04523</v>
      </c>
      <c r="M7" s="38">
        <f t="shared" si="2"/>
        <v>807757927827.24414</v>
      </c>
      <c r="N7" s="38">
        <f t="shared" si="2"/>
        <v>1560682653254.5366</v>
      </c>
      <c r="O7" s="39">
        <v>3320000000000</v>
      </c>
    </row>
    <row r="8" spans="1:15" ht="30">
      <c r="A8" s="32" t="s">
        <v>108</v>
      </c>
      <c r="B8" s="37">
        <f t="shared" ref="B8:H8" si="3">B7-I7</f>
        <v>3067669374.3797998</v>
      </c>
      <c r="C8" s="38">
        <f t="shared" si="3"/>
        <v>92030081231.393997</v>
      </c>
      <c r="D8" s="38">
        <f t="shared" si="3"/>
        <v>559623316903.84753</v>
      </c>
      <c r="E8" s="38">
        <f t="shared" si="3"/>
        <v>2115078474055.199</v>
      </c>
      <c r="F8" s="38">
        <f t="shared" si="3"/>
        <v>4112783748677.9541</v>
      </c>
      <c r="G8" s="38">
        <f t="shared" si="3"/>
        <v>6321182525985.2969</v>
      </c>
      <c r="H8" s="39">
        <f t="shared" si="3"/>
        <v>34680000000000</v>
      </c>
      <c r="I8" s="140"/>
      <c r="J8" s="141"/>
      <c r="K8" s="141"/>
      <c r="L8" s="141"/>
      <c r="M8" s="141"/>
      <c r="N8" s="141"/>
      <c r="O8" s="142"/>
    </row>
    <row r="9" spans="1:15" ht="15.75" thickBot="1">
      <c r="A9" s="32" t="s">
        <v>70</v>
      </c>
      <c r="B9" s="18"/>
      <c r="C9" s="16"/>
      <c r="D9" s="16">
        <f>D8/K7</f>
        <v>32.729331986726294</v>
      </c>
      <c r="E9" s="16">
        <f>E8/L7</f>
        <v>7.6163153265996852</v>
      </c>
      <c r="F9" s="16">
        <f>F8/M7</f>
        <v>5.091604312372108</v>
      </c>
      <c r="G9" s="16">
        <f>G8/N7</f>
        <v>4.0502676907464519</v>
      </c>
      <c r="H9" s="19">
        <f>H8/O7</f>
        <v>10.445783132530121</v>
      </c>
      <c r="I9" s="140"/>
      <c r="J9" s="141"/>
      <c r="K9" s="141"/>
      <c r="L9" s="141"/>
      <c r="M9" s="141"/>
      <c r="N9" s="141"/>
      <c r="O9" s="142"/>
    </row>
    <row r="10" spans="1:15" ht="6.75" customHeight="1" thickTop="1" thickBot="1">
      <c r="A10" s="42"/>
      <c r="B10" s="43"/>
      <c r="C10" s="43"/>
      <c r="D10" s="43"/>
      <c r="E10" s="43"/>
      <c r="F10" s="43"/>
      <c r="G10" s="43"/>
      <c r="H10" s="44"/>
      <c r="I10" s="45"/>
      <c r="J10" s="43"/>
      <c r="K10" s="43"/>
      <c r="L10" s="43"/>
      <c r="M10" s="43"/>
      <c r="N10" s="43"/>
      <c r="O10" s="46"/>
    </row>
    <row r="11" spans="1:15" ht="18" thickTop="1" thickBot="1">
      <c r="A11" s="128" t="s">
        <v>22</v>
      </c>
      <c r="B11" s="129" t="s">
        <v>116</v>
      </c>
      <c r="C11" s="129"/>
      <c r="D11" s="129"/>
      <c r="E11" s="129"/>
      <c r="F11" s="129"/>
      <c r="G11" s="129"/>
      <c r="H11" s="129"/>
      <c r="I11" s="129" t="s">
        <v>71</v>
      </c>
      <c r="J11" s="129"/>
      <c r="K11" s="129"/>
      <c r="L11" s="129"/>
      <c r="M11" s="129"/>
      <c r="N11" s="129"/>
      <c r="O11" s="129"/>
    </row>
    <row r="12" spans="1:15" ht="61.5" thickTop="1" thickBot="1">
      <c r="A12" s="128"/>
      <c r="B12" s="25" t="s">
        <v>23</v>
      </c>
      <c r="C12" s="25" t="s">
        <v>24</v>
      </c>
      <c r="D12" s="25" t="s">
        <v>25</v>
      </c>
      <c r="E12" s="25" t="s">
        <v>26</v>
      </c>
      <c r="F12" s="25" t="s">
        <v>27</v>
      </c>
      <c r="G12" s="25" t="s">
        <v>28</v>
      </c>
      <c r="H12" s="26" t="s">
        <v>29</v>
      </c>
      <c r="I12" s="25" t="s">
        <v>23</v>
      </c>
      <c r="J12" s="25" t="s">
        <v>24</v>
      </c>
      <c r="K12" s="25" t="s">
        <v>25</v>
      </c>
      <c r="L12" s="25" t="s">
        <v>26</v>
      </c>
      <c r="M12" s="25" t="s">
        <v>27</v>
      </c>
      <c r="N12" s="25" t="s">
        <v>28</v>
      </c>
      <c r="O12" s="26" t="s">
        <v>29</v>
      </c>
    </row>
    <row r="13" spans="1:15" ht="30.75" thickTop="1">
      <c r="A13" s="28" t="s">
        <v>30</v>
      </c>
      <c r="B13" s="29">
        <v>0</v>
      </c>
      <c r="C13" s="30">
        <v>4.3</v>
      </c>
      <c r="D13" s="30">
        <v>33</v>
      </c>
      <c r="E13" s="30">
        <v>149.30000000000001</v>
      </c>
      <c r="F13" s="30">
        <v>318</v>
      </c>
      <c r="G13" s="30">
        <v>520.6</v>
      </c>
      <c r="H13" s="31">
        <v>2107.6999999999998</v>
      </c>
      <c r="I13" s="47">
        <v>0</v>
      </c>
      <c r="J13" s="85">
        <v>0</v>
      </c>
      <c r="K13" s="48">
        <v>0.3</v>
      </c>
      <c r="L13" s="48">
        <v>21.2</v>
      </c>
      <c r="M13" s="48">
        <v>71.8</v>
      </c>
      <c r="N13" s="48">
        <v>147.9</v>
      </c>
      <c r="O13" s="49">
        <v>249.39</v>
      </c>
    </row>
    <row r="14" spans="1:15" ht="45">
      <c r="A14" s="32" t="s">
        <v>107</v>
      </c>
      <c r="B14" s="64">
        <f>B13-I13</f>
        <v>0</v>
      </c>
      <c r="C14" s="65">
        <f t="shared" ref="C14:H14" si="4">C13-J13</f>
        <v>4.3</v>
      </c>
      <c r="D14" s="65">
        <f t="shared" si="4"/>
        <v>32.700000000000003</v>
      </c>
      <c r="E14" s="65">
        <f t="shared" si="4"/>
        <v>128.10000000000002</v>
      </c>
      <c r="F14" s="65">
        <f t="shared" si="4"/>
        <v>246.2</v>
      </c>
      <c r="G14" s="65">
        <f t="shared" si="4"/>
        <v>372.70000000000005</v>
      </c>
      <c r="H14" s="66">
        <f t="shared" si="4"/>
        <v>1858.31</v>
      </c>
      <c r="I14" s="113"/>
      <c r="J14" s="110"/>
      <c r="K14" s="110"/>
      <c r="L14" s="110"/>
      <c r="M14" s="110"/>
      <c r="N14" s="110"/>
      <c r="O14" s="111"/>
    </row>
    <row r="15" spans="1:15" ht="30">
      <c r="A15" s="32" t="s">
        <v>69</v>
      </c>
      <c r="B15" s="35"/>
      <c r="C15" s="36"/>
      <c r="D15" s="36"/>
      <c r="E15" s="36">
        <f>E14/L13</f>
        <v>6.0424528301886804</v>
      </c>
      <c r="F15" s="36">
        <f>F14/M13</f>
        <v>3.4289693593314765</v>
      </c>
      <c r="G15" s="36">
        <f>G14/N13</f>
        <v>2.5199459093982424</v>
      </c>
      <c r="H15" s="12">
        <f>H14/O13</f>
        <v>7.4514214683828541</v>
      </c>
      <c r="I15" s="92"/>
      <c r="J15" s="110"/>
      <c r="K15" s="110"/>
      <c r="L15" s="110"/>
      <c r="M15" s="110"/>
      <c r="N15" s="110"/>
      <c r="O15" s="111"/>
    </row>
    <row r="16" spans="1:15" ht="45">
      <c r="A16" s="32" t="s">
        <v>109</v>
      </c>
      <c r="B16" s="33">
        <f t="shared" ref="B16:G16" si="5">12.274*(B13*1233481855.4)</f>
        <v>0</v>
      </c>
      <c r="C16" s="34">
        <f t="shared" si="5"/>
        <v>65100952060.672279</v>
      </c>
      <c r="D16" s="34">
        <f t="shared" si="5"/>
        <v>499611957674.92682</v>
      </c>
      <c r="E16" s="34">
        <f t="shared" si="5"/>
        <v>2260365614571.7144</v>
      </c>
      <c r="F16" s="34">
        <f t="shared" si="5"/>
        <v>4814442501231.1123</v>
      </c>
      <c r="G16" s="34">
        <f t="shared" si="5"/>
        <v>7881757126229.3008</v>
      </c>
      <c r="H16" s="39">
        <v>31900000000000</v>
      </c>
      <c r="I16" s="33">
        <f t="shared" ref="I16:N16" si="6">6.295*(I13*1233481855.4)</f>
        <v>0</v>
      </c>
      <c r="J16" s="86">
        <f t="shared" si="6"/>
        <v>0</v>
      </c>
      <c r="K16" s="34">
        <f t="shared" si="6"/>
        <v>2329430483.9229002</v>
      </c>
      <c r="L16" s="34">
        <f t="shared" si="6"/>
        <v>164613087530.55161</v>
      </c>
      <c r="M16" s="34">
        <f t="shared" si="6"/>
        <v>557510362485.54736</v>
      </c>
      <c r="N16" s="34">
        <f t="shared" si="6"/>
        <v>1148409228573.99</v>
      </c>
      <c r="O16" s="39">
        <v>1940000000000</v>
      </c>
    </row>
    <row r="17" spans="1:15" ht="30">
      <c r="A17" s="32" t="s">
        <v>108</v>
      </c>
      <c r="B17" s="33">
        <f t="shared" ref="B17:H17" si="7">B16-I16</f>
        <v>0</v>
      </c>
      <c r="C17" s="34">
        <f t="shared" si="7"/>
        <v>65100952060.672279</v>
      </c>
      <c r="D17" s="34">
        <f t="shared" si="7"/>
        <v>497282527191.00391</v>
      </c>
      <c r="E17" s="34">
        <f t="shared" si="7"/>
        <v>2095752527041.1628</v>
      </c>
      <c r="F17" s="34">
        <f t="shared" si="7"/>
        <v>4256932138745.5649</v>
      </c>
      <c r="G17" s="34">
        <f t="shared" si="7"/>
        <v>6733347897655.3105</v>
      </c>
      <c r="H17" s="39">
        <f t="shared" si="7"/>
        <v>29960000000000</v>
      </c>
      <c r="I17" s="91"/>
      <c r="J17" s="108"/>
      <c r="K17" s="108"/>
      <c r="L17" s="108"/>
      <c r="M17" s="108"/>
      <c r="N17" s="108"/>
      <c r="O17" s="109"/>
    </row>
    <row r="18" spans="1:15" ht="33" customHeight="1" thickBot="1">
      <c r="A18" s="32" t="s">
        <v>70</v>
      </c>
      <c r="B18" s="18"/>
      <c r="C18" s="16"/>
      <c r="D18" s="16"/>
      <c r="E18" s="16">
        <f>E17/L16</f>
        <v>12.731384596939771</v>
      </c>
      <c r="F18" s="16">
        <f>F17/M16</f>
        <v>7.6356107889490925</v>
      </c>
      <c r="G18" s="16">
        <f>G17/N16</f>
        <v>5.8631955666328857</v>
      </c>
      <c r="H18" s="19">
        <f>H17/O16</f>
        <v>15.443298969072165</v>
      </c>
      <c r="I18" s="91"/>
      <c r="J18" s="108"/>
      <c r="K18" s="108"/>
      <c r="L18" s="108"/>
      <c r="M18" s="108"/>
      <c r="N18" s="108"/>
      <c r="O18" s="109"/>
    </row>
    <row r="19" spans="1:15" ht="7.5" customHeight="1" thickTop="1" thickBot="1">
      <c r="A19" s="51"/>
      <c r="B19" s="43"/>
      <c r="C19" s="43"/>
      <c r="D19" s="43"/>
      <c r="E19" s="43"/>
      <c r="F19" s="43"/>
      <c r="G19" s="43"/>
      <c r="H19" s="43"/>
      <c r="I19" s="52"/>
      <c r="J19" s="52"/>
      <c r="K19" s="52"/>
      <c r="L19" s="52"/>
      <c r="M19" s="52"/>
      <c r="N19" s="52"/>
      <c r="O19" s="53"/>
    </row>
    <row r="20" spans="1:15" ht="37.5" customHeight="1" thickTop="1" thickBot="1">
      <c r="A20" s="130" t="s">
        <v>72</v>
      </c>
      <c r="B20" s="131"/>
      <c r="C20" s="131"/>
      <c r="D20" s="131"/>
      <c r="E20" s="131"/>
      <c r="F20" s="131"/>
      <c r="G20" s="131"/>
      <c r="H20" s="131"/>
      <c r="I20" s="132"/>
      <c r="J20" s="132"/>
      <c r="K20" s="132"/>
      <c r="L20" s="132"/>
      <c r="M20" s="132"/>
      <c r="N20" s="132"/>
      <c r="O20" s="133"/>
    </row>
    <row r="21" spans="1:15" ht="30" customHeight="1" thickTop="1" thickBot="1">
      <c r="A21" s="87" t="s">
        <v>38</v>
      </c>
      <c r="B21" s="88" t="s">
        <v>23</v>
      </c>
      <c r="C21" s="88" t="s">
        <v>24</v>
      </c>
      <c r="D21" s="88" t="s">
        <v>25</v>
      </c>
      <c r="E21" s="88" t="s">
        <v>26</v>
      </c>
      <c r="F21" s="88" t="s">
        <v>27</v>
      </c>
      <c r="G21" s="88" t="s">
        <v>28</v>
      </c>
      <c r="H21" s="89" t="s">
        <v>29</v>
      </c>
      <c r="I21" s="134"/>
      <c r="J21" s="134"/>
      <c r="K21" s="134"/>
      <c r="L21" s="134"/>
      <c r="M21" s="134"/>
      <c r="N21" s="134"/>
      <c r="O21" s="135"/>
    </row>
    <row r="22" spans="1:15" ht="30.75" thickTop="1">
      <c r="A22" s="60" t="s">
        <v>73</v>
      </c>
      <c r="B22" s="29">
        <f t="shared" ref="B22:H22" si="8">I4+I13</f>
        <v>0</v>
      </c>
      <c r="C22" s="30">
        <f t="shared" si="8"/>
        <v>0</v>
      </c>
      <c r="D22" s="30">
        <f t="shared" si="8"/>
        <v>3.1999999999999997</v>
      </c>
      <c r="E22" s="30">
        <f t="shared" si="8"/>
        <v>68.3</v>
      </c>
      <c r="F22" s="30">
        <f t="shared" si="8"/>
        <v>208.8</v>
      </c>
      <c r="G22" s="30">
        <f t="shared" si="8"/>
        <v>412.6</v>
      </c>
      <c r="H22" s="31">
        <f t="shared" si="8"/>
        <v>812.18999999999994</v>
      </c>
      <c r="I22" s="134"/>
      <c r="J22" s="134"/>
      <c r="K22" s="134"/>
      <c r="L22" s="134"/>
      <c r="M22" s="134"/>
      <c r="N22" s="134"/>
      <c r="O22" s="135"/>
    </row>
    <row r="23" spans="1:15" ht="30" customHeight="1">
      <c r="A23" s="40" t="s">
        <v>39</v>
      </c>
      <c r="B23" s="64">
        <f t="shared" ref="B23:H23" si="9">B4+B13</f>
        <v>0.3</v>
      </c>
      <c r="C23" s="65">
        <f t="shared" si="9"/>
        <v>13.3</v>
      </c>
      <c r="D23" s="65">
        <f t="shared" si="9"/>
        <v>89.4</v>
      </c>
      <c r="E23" s="65">
        <f t="shared" si="9"/>
        <v>383.3</v>
      </c>
      <c r="F23" s="65">
        <f t="shared" si="9"/>
        <v>799.2</v>
      </c>
      <c r="G23" s="65">
        <f t="shared" si="9"/>
        <v>1291.4000000000001</v>
      </c>
      <c r="H23" s="66">
        <f t="shared" si="9"/>
        <v>5512.6</v>
      </c>
      <c r="I23" s="134"/>
      <c r="J23" s="134"/>
      <c r="K23" s="134"/>
      <c r="L23" s="134"/>
      <c r="M23" s="134"/>
      <c r="N23" s="134"/>
      <c r="O23" s="135"/>
    </row>
    <row r="24" spans="1:15" ht="30">
      <c r="A24" s="40" t="s">
        <v>74</v>
      </c>
      <c r="B24" s="36"/>
      <c r="C24" s="36"/>
      <c r="D24" s="36">
        <f>(D23-D22)/D22</f>
        <v>26.937500000000004</v>
      </c>
      <c r="E24" s="36">
        <f>(E23-E22)/E22</f>
        <v>4.6120058565153732</v>
      </c>
      <c r="F24" s="36">
        <f>(F23-F22)/F22</f>
        <v>2.827586206896552</v>
      </c>
      <c r="G24" s="36">
        <f>(G23-G22)/G22</f>
        <v>2.1299079011148812</v>
      </c>
      <c r="H24" s="36">
        <f>(H23-H22)/H22</f>
        <v>5.7873280882552125</v>
      </c>
      <c r="I24" s="134"/>
      <c r="J24" s="134"/>
      <c r="K24" s="134"/>
      <c r="L24" s="134"/>
      <c r="M24" s="134"/>
      <c r="N24" s="134"/>
      <c r="O24" s="135"/>
    </row>
    <row r="25" spans="1:15" ht="29.25" customHeight="1">
      <c r="A25" s="40" t="s">
        <v>110</v>
      </c>
      <c r="B25" s="37">
        <f t="shared" ref="B25:G25" si="10">I16+I7</f>
        <v>0</v>
      </c>
      <c r="C25" s="38">
        <f t="shared" si="10"/>
        <v>0</v>
      </c>
      <c r="D25" s="38">
        <f t="shared" si="10"/>
        <v>19427955963.477703</v>
      </c>
      <c r="E25" s="38">
        <f t="shared" si="10"/>
        <v>442316725491.5968</v>
      </c>
      <c r="F25" s="38">
        <f t="shared" si="10"/>
        <v>1365268290312.7915</v>
      </c>
      <c r="G25" s="38">
        <f t="shared" si="10"/>
        <v>2709091881828.5264</v>
      </c>
      <c r="H25" s="39">
        <f>O16+O7</f>
        <v>5260000000000</v>
      </c>
      <c r="I25" s="134"/>
      <c r="J25" s="134"/>
      <c r="K25" s="134"/>
      <c r="L25" s="134"/>
      <c r="M25" s="134"/>
      <c r="N25" s="134"/>
      <c r="O25" s="135"/>
    </row>
    <row r="26" spans="1:15" ht="30" customHeight="1">
      <c r="A26" s="40" t="s">
        <v>42</v>
      </c>
      <c r="B26" s="37">
        <f>I16+I7</f>
        <v>0</v>
      </c>
      <c r="C26" s="38">
        <f t="shared" ref="C26:H26" si="11">C16+C7</f>
        <v>157131033292.06628</v>
      </c>
      <c r="D26" s="38">
        <f t="shared" si="11"/>
        <v>1076333800058.3291</v>
      </c>
      <c r="E26" s="38">
        <f t="shared" si="11"/>
        <v>4653147726587.959</v>
      </c>
      <c r="F26" s="38">
        <f t="shared" si="11"/>
        <v>9734984177736.3105</v>
      </c>
      <c r="G26" s="38">
        <f t="shared" si="11"/>
        <v>15763622305469.133</v>
      </c>
      <c r="H26" s="39">
        <f t="shared" si="11"/>
        <v>69900000000000</v>
      </c>
      <c r="I26" s="134"/>
      <c r="J26" s="134"/>
      <c r="K26" s="134"/>
      <c r="L26" s="134"/>
      <c r="M26" s="134"/>
      <c r="N26" s="134"/>
      <c r="O26" s="135"/>
    </row>
    <row r="27" spans="1:15" ht="30.75" thickBot="1">
      <c r="A27" s="67" t="s">
        <v>75</v>
      </c>
      <c r="B27" s="18"/>
      <c r="C27" s="16"/>
      <c r="D27" s="16">
        <f>(D26-D25)/D25</f>
        <v>54.401288847973071</v>
      </c>
      <c r="E27" s="16">
        <f>(E26-E25)/E25</f>
        <v>9.5199452302338052</v>
      </c>
      <c r="F27" s="16">
        <f>(F26-F25)/F25</f>
        <v>6.1304550518096086</v>
      </c>
      <c r="G27" s="16">
        <f>(G26-G25)/G25</f>
        <v>4.8187846677349793</v>
      </c>
      <c r="H27" s="16">
        <f>(H26-H25)/H25</f>
        <v>12.288973384030419</v>
      </c>
      <c r="I27" s="136"/>
      <c r="J27" s="136"/>
      <c r="K27" s="136"/>
      <c r="L27" s="136"/>
      <c r="M27" s="136"/>
      <c r="N27" s="136"/>
      <c r="O27" s="137"/>
    </row>
    <row r="28" spans="1:15" ht="15.75" thickTop="1"/>
  </sheetData>
  <mergeCells count="13">
    <mergeCell ref="I6:O6"/>
    <mergeCell ref="I8:O8"/>
    <mergeCell ref="I9:O9"/>
    <mergeCell ref="A11:A12"/>
    <mergeCell ref="B11:H11"/>
    <mergeCell ref="I11:O11"/>
    <mergeCell ref="A20:H20"/>
    <mergeCell ref="I20:O27"/>
    <mergeCell ref="A1:O1"/>
    <mergeCell ref="A2:A3"/>
    <mergeCell ref="B2:H2"/>
    <mergeCell ref="I2:O2"/>
    <mergeCell ref="I5:O5"/>
  </mergeCells>
  <phoneticPr fontId="7" type="noConversion"/>
  <pageMargins left="0.7" right="0.7" top="0.75" bottom="0.75" header="0.3" footer="0.3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view="pageBreakPreview" topLeftCell="A19" zoomScale="60" zoomScaleNormal="100" workbookViewId="0">
      <selection activeCell="B17" sqref="B17:H17"/>
    </sheetView>
  </sheetViews>
  <sheetFormatPr defaultRowHeight="15"/>
  <cols>
    <col min="1" max="1" width="20.85546875" style="95" customWidth="1"/>
    <col min="2" max="2" width="10.42578125" style="94" customWidth="1"/>
    <col min="3" max="4" width="9.7109375" style="94" bestFit="1" customWidth="1"/>
    <col min="5" max="5" width="10.28515625" style="94" bestFit="1" customWidth="1"/>
    <col min="6" max="6" width="10" style="94" bestFit="1" customWidth="1"/>
    <col min="7" max="7" width="10.85546875" style="94" bestFit="1" customWidth="1"/>
    <col min="8" max="8" width="14" style="94" customWidth="1"/>
    <col min="9" max="14" width="9.140625" style="94"/>
    <col min="15" max="15" width="12.7109375" style="94" customWidth="1"/>
    <col min="16" max="16" width="21.5703125" style="94" customWidth="1"/>
    <col min="17" max="16384" width="9.140625" style="94"/>
  </cols>
  <sheetData>
    <row r="1" spans="1:16" ht="89.25" customHeight="1" thickTop="1" thickBot="1">
      <c r="A1" s="120" t="s">
        <v>106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50"/>
    </row>
    <row r="2" spans="1:16" ht="18" thickTop="1" thickBot="1">
      <c r="A2" s="128" t="s">
        <v>22</v>
      </c>
      <c r="B2" s="129" t="s">
        <v>76</v>
      </c>
      <c r="C2" s="129"/>
      <c r="D2" s="129"/>
      <c r="E2" s="129"/>
      <c r="F2" s="129"/>
      <c r="G2" s="129"/>
      <c r="H2" s="129"/>
      <c r="I2" s="129" t="s">
        <v>77</v>
      </c>
      <c r="J2" s="129"/>
      <c r="K2" s="129"/>
      <c r="L2" s="129"/>
      <c r="M2" s="129"/>
      <c r="N2" s="129"/>
      <c r="O2" s="129"/>
    </row>
    <row r="3" spans="1:16" ht="31.5" thickTop="1" thickBot="1">
      <c r="A3" s="128"/>
      <c r="B3" s="25" t="s">
        <v>23</v>
      </c>
      <c r="C3" s="25" t="s">
        <v>24</v>
      </c>
      <c r="D3" s="25" t="s">
        <v>25</v>
      </c>
      <c r="E3" s="25" t="s">
        <v>26</v>
      </c>
      <c r="F3" s="25" t="s">
        <v>27</v>
      </c>
      <c r="G3" s="25" t="s">
        <v>28</v>
      </c>
      <c r="H3" s="26" t="s">
        <v>29</v>
      </c>
      <c r="I3" s="25" t="s">
        <v>23</v>
      </c>
      <c r="J3" s="25" t="s">
        <v>24</v>
      </c>
      <c r="K3" s="25" t="s">
        <v>25</v>
      </c>
      <c r="L3" s="25" t="s">
        <v>26</v>
      </c>
      <c r="M3" s="25" t="s">
        <v>27</v>
      </c>
      <c r="N3" s="25" t="s">
        <v>28</v>
      </c>
      <c r="O3" s="26" t="s">
        <v>29</v>
      </c>
    </row>
    <row r="4" spans="1:16" ht="15.75" thickTop="1">
      <c r="A4" s="60" t="s">
        <v>30</v>
      </c>
      <c r="B4" s="29">
        <v>0.3</v>
      </c>
      <c r="C4" s="30">
        <v>2.2999999999999998</v>
      </c>
      <c r="D4" s="30">
        <v>10.3</v>
      </c>
      <c r="E4" s="30">
        <v>35.4</v>
      </c>
      <c r="F4" s="30">
        <v>67</v>
      </c>
      <c r="G4" s="30">
        <v>101.8</v>
      </c>
      <c r="H4" s="31">
        <v>558</v>
      </c>
      <c r="I4" s="47">
        <v>0</v>
      </c>
      <c r="J4" s="48">
        <v>0</v>
      </c>
      <c r="K4" s="48">
        <v>0</v>
      </c>
      <c r="L4" s="48">
        <v>0</v>
      </c>
      <c r="M4" s="48">
        <v>0.6</v>
      </c>
      <c r="N4" s="48">
        <v>3</v>
      </c>
      <c r="O4" s="49">
        <v>0.34</v>
      </c>
    </row>
    <row r="5" spans="1:16" ht="30">
      <c r="A5" s="40" t="s">
        <v>78</v>
      </c>
      <c r="B5" s="151"/>
      <c r="C5" s="152"/>
      <c r="D5" s="152"/>
      <c r="E5" s="152"/>
      <c r="F5" s="152"/>
      <c r="G5" s="152"/>
      <c r="H5" s="153"/>
      <c r="I5" s="33">
        <f>B4-I4</f>
        <v>0.3</v>
      </c>
      <c r="J5" s="34">
        <f t="shared" ref="J5:O5" si="0">C4-J4</f>
        <v>2.2999999999999998</v>
      </c>
      <c r="K5" s="34">
        <f t="shared" si="0"/>
        <v>10.3</v>
      </c>
      <c r="L5" s="34">
        <f t="shared" si="0"/>
        <v>35.4</v>
      </c>
      <c r="M5" s="34">
        <f t="shared" si="0"/>
        <v>66.400000000000006</v>
      </c>
      <c r="N5" s="34">
        <f t="shared" si="0"/>
        <v>98.8</v>
      </c>
      <c r="O5" s="14">
        <f t="shared" si="0"/>
        <v>557.66</v>
      </c>
    </row>
    <row r="6" spans="1:16">
      <c r="A6" s="40" t="s">
        <v>79</v>
      </c>
      <c r="B6" s="146"/>
      <c r="C6" s="147"/>
      <c r="D6" s="147"/>
      <c r="E6" s="147"/>
      <c r="F6" s="147"/>
      <c r="G6" s="147"/>
      <c r="H6" s="148"/>
      <c r="I6" s="35">
        <f>(B4-I4)/B4</f>
        <v>1</v>
      </c>
      <c r="J6" s="36">
        <f t="shared" ref="J6:O6" si="1">(C4-J4)/C4</f>
        <v>1</v>
      </c>
      <c r="K6" s="36">
        <f t="shared" si="1"/>
        <v>1</v>
      </c>
      <c r="L6" s="36">
        <f t="shared" si="1"/>
        <v>1</v>
      </c>
      <c r="M6" s="36">
        <f t="shared" si="1"/>
        <v>0.99104477611940311</v>
      </c>
      <c r="N6" s="36">
        <f t="shared" si="1"/>
        <v>0.97053045186640474</v>
      </c>
      <c r="O6" s="12">
        <f t="shared" si="1"/>
        <v>0.99939068100358419</v>
      </c>
    </row>
    <row r="7" spans="1:16" ht="45">
      <c r="A7" s="40" t="s">
        <v>109</v>
      </c>
      <c r="B7" s="37">
        <f t="shared" ref="B7:G7" si="2">(B4*1233481855.4)*1.129</f>
        <v>417780304.42398</v>
      </c>
      <c r="C7" s="38">
        <f t="shared" si="2"/>
        <v>3202982333.9171801</v>
      </c>
      <c r="D7" s="38">
        <f t="shared" si="2"/>
        <v>14343790451.889982</v>
      </c>
      <c r="E7" s="38">
        <f t="shared" si="2"/>
        <v>49298075922.029648</v>
      </c>
      <c r="F7" s="38">
        <f t="shared" si="2"/>
        <v>93304267988.022202</v>
      </c>
      <c r="G7" s="38">
        <f t="shared" si="2"/>
        <v>141766783301.20389</v>
      </c>
      <c r="H7" s="39">
        <v>777000000000</v>
      </c>
      <c r="I7" s="37">
        <f t="shared" ref="I7:N7" si="3">(I4*1233481855.4)*3.27</f>
        <v>0</v>
      </c>
      <c r="J7" s="38">
        <f t="shared" si="3"/>
        <v>0</v>
      </c>
      <c r="K7" s="38">
        <f t="shared" si="3"/>
        <v>0</v>
      </c>
      <c r="L7" s="38">
        <f t="shared" si="3"/>
        <v>0</v>
      </c>
      <c r="M7" s="38">
        <f t="shared" si="3"/>
        <v>2420091400.2948003</v>
      </c>
      <c r="N7" s="38">
        <f t="shared" si="3"/>
        <v>12100457001.474001</v>
      </c>
      <c r="O7" s="39">
        <v>1370000000</v>
      </c>
      <c r="P7" s="96"/>
    </row>
    <row r="8" spans="1:16" ht="30">
      <c r="A8" s="40" t="s">
        <v>111</v>
      </c>
      <c r="B8" s="143"/>
      <c r="C8" s="144"/>
      <c r="D8" s="144"/>
      <c r="E8" s="144"/>
      <c r="F8" s="144"/>
      <c r="G8" s="144"/>
      <c r="H8" s="145"/>
      <c r="I8" s="37">
        <f t="shared" ref="I8:O8" si="4">B7-I7</f>
        <v>417780304.42398</v>
      </c>
      <c r="J8" s="38">
        <f t="shared" si="4"/>
        <v>3202982333.9171801</v>
      </c>
      <c r="K8" s="38">
        <f t="shared" si="4"/>
        <v>14343790451.889982</v>
      </c>
      <c r="L8" s="38">
        <f t="shared" si="4"/>
        <v>49298075922.029648</v>
      </c>
      <c r="M8" s="38">
        <f t="shared" si="4"/>
        <v>90884176587.727402</v>
      </c>
      <c r="N8" s="38">
        <f t="shared" si="4"/>
        <v>129666326299.72989</v>
      </c>
      <c r="O8" s="39">
        <f t="shared" si="4"/>
        <v>775630000000</v>
      </c>
      <c r="P8" s="96"/>
    </row>
    <row r="9" spans="1:16" ht="30">
      <c r="A9" s="40" t="s">
        <v>80</v>
      </c>
      <c r="B9" s="146"/>
      <c r="C9" s="147"/>
      <c r="D9" s="147"/>
      <c r="E9" s="147"/>
      <c r="F9" s="147"/>
      <c r="G9" s="147"/>
      <c r="H9" s="148"/>
      <c r="I9" s="35">
        <f>I8/B7</f>
        <v>1</v>
      </c>
      <c r="J9" s="36">
        <f t="shared" ref="J9:O9" si="5">J8/C7</f>
        <v>1</v>
      </c>
      <c r="K9" s="36">
        <f t="shared" si="5"/>
        <v>1</v>
      </c>
      <c r="L9" s="36">
        <f t="shared" si="5"/>
        <v>1</v>
      </c>
      <c r="M9" s="36">
        <f t="shared" si="5"/>
        <v>0.97406237193130896</v>
      </c>
      <c r="N9" s="36">
        <f t="shared" si="5"/>
        <v>0.91464533002935644</v>
      </c>
      <c r="O9" s="12">
        <f t="shared" si="5"/>
        <v>0.99823680823680827</v>
      </c>
    </row>
    <row r="10" spans="1:16" ht="5.25" customHeight="1" thickBot="1">
      <c r="A10" s="74"/>
      <c r="B10" s="52"/>
      <c r="C10" s="52"/>
      <c r="D10" s="52"/>
      <c r="E10" s="52"/>
      <c r="F10" s="52"/>
      <c r="G10" s="52"/>
      <c r="H10" s="77"/>
      <c r="I10" s="90"/>
      <c r="J10" s="52"/>
      <c r="K10" s="52"/>
      <c r="L10" s="52"/>
      <c r="M10" s="52"/>
      <c r="N10" s="52"/>
      <c r="O10" s="53"/>
    </row>
    <row r="11" spans="1:16" ht="18" thickTop="1" thickBot="1">
      <c r="A11" s="128" t="s">
        <v>22</v>
      </c>
      <c r="B11" s="129" t="s">
        <v>81</v>
      </c>
      <c r="C11" s="129"/>
      <c r="D11" s="129"/>
      <c r="E11" s="129"/>
      <c r="F11" s="129"/>
      <c r="G11" s="129"/>
      <c r="H11" s="129"/>
      <c r="I11" s="129" t="s">
        <v>82</v>
      </c>
      <c r="J11" s="129"/>
      <c r="K11" s="129"/>
      <c r="L11" s="129"/>
      <c r="M11" s="129"/>
      <c r="N11" s="129"/>
      <c r="O11" s="129"/>
      <c r="P11" s="96"/>
    </row>
    <row r="12" spans="1:16" ht="31.5" thickTop="1" thickBot="1">
      <c r="A12" s="128"/>
      <c r="B12" s="25" t="s">
        <v>23</v>
      </c>
      <c r="C12" s="25" t="s">
        <v>24</v>
      </c>
      <c r="D12" s="25" t="s">
        <v>25</v>
      </c>
      <c r="E12" s="25" t="s">
        <v>26</v>
      </c>
      <c r="F12" s="25" t="s">
        <v>27</v>
      </c>
      <c r="G12" s="25" t="s">
        <v>28</v>
      </c>
      <c r="H12" s="26" t="s">
        <v>29</v>
      </c>
      <c r="I12" s="25" t="s">
        <v>23</v>
      </c>
      <c r="J12" s="25" t="s">
        <v>24</v>
      </c>
      <c r="K12" s="25" t="s">
        <v>25</v>
      </c>
      <c r="L12" s="25" t="s">
        <v>26</v>
      </c>
      <c r="M12" s="25" t="s">
        <v>27</v>
      </c>
      <c r="N12" s="25" t="s">
        <v>28</v>
      </c>
      <c r="O12" s="26" t="s">
        <v>29</v>
      </c>
      <c r="P12" s="96"/>
    </row>
    <row r="13" spans="1:16" ht="15.75" thickTop="1">
      <c r="A13" s="60" t="s">
        <v>30</v>
      </c>
      <c r="B13" s="29">
        <v>0.4</v>
      </c>
      <c r="C13" s="30">
        <v>1.4</v>
      </c>
      <c r="D13" s="30">
        <v>4.4000000000000004</v>
      </c>
      <c r="E13" s="30">
        <v>11.7</v>
      </c>
      <c r="F13" s="30">
        <v>19.5</v>
      </c>
      <c r="G13" s="30">
        <v>27.5</v>
      </c>
      <c r="H13" s="31">
        <f>(10*B13)+(17*C13)+(12*D13)+(7*E13)+(1*F13)+(0*G13)</f>
        <v>182</v>
      </c>
      <c r="I13" s="47">
        <v>0</v>
      </c>
      <c r="J13" s="48">
        <v>0.2</v>
      </c>
      <c r="K13" s="48">
        <v>1</v>
      </c>
      <c r="L13" s="48">
        <v>4.5</v>
      </c>
      <c r="M13" s="48">
        <v>9.1999999999999993</v>
      </c>
      <c r="N13" s="48">
        <v>15</v>
      </c>
      <c r="O13" s="49">
        <f>(10*I13)+(17*J13)+(12*K13)+(7*L13)+(1*M13)+(0*N13)</f>
        <v>56.099999999999994</v>
      </c>
    </row>
    <row r="14" spans="1:16" ht="30">
      <c r="A14" s="40" t="s">
        <v>78</v>
      </c>
      <c r="B14" s="151"/>
      <c r="C14" s="154"/>
      <c r="D14" s="154"/>
      <c r="E14" s="154"/>
      <c r="F14" s="154"/>
      <c r="G14" s="154"/>
      <c r="H14" s="155"/>
      <c r="I14" s="91">
        <f>B13-I13</f>
        <v>0.4</v>
      </c>
      <c r="J14" s="34">
        <f t="shared" ref="J14:O14" si="6">C13-J13</f>
        <v>1.2</v>
      </c>
      <c r="K14" s="34">
        <f t="shared" si="6"/>
        <v>3.4000000000000004</v>
      </c>
      <c r="L14" s="34">
        <f t="shared" si="6"/>
        <v>7.1999999999999993</v>
      </c>
      <c r="M14" s="34">
        <f t="shared" si="6"/>
        <v>10.3</v>
      </c>
      <c r="N14" s="34">
        <f t="shared" si="6"/>
        <v>12.5</v>
      </c>
      <c r="O14" s="14">
        <f t="shared" si="6"/>
        <v>125.9</v>
      </c>
    </row>
    <row r="15" spans="1:16">
      <c r="A15" s="40" t="s">
        <v>79</v>
      </c>
      <c r="B15" s="146"/>
      <c r="C15" s="154"/>
      <c r="D15" s="154"/>
      <c r="E15" s="154"/>
      <c r="F15" s="154"/>
      <c r="G15" s="154"/>
      <c r="H15" s="155"/>
      <c r="I15" s="92">
        <f>I14/B13</f>
        <v>1</v>
      </c>
      <c r="J15" s="36">
        <f t="shared" ref="J15:O15" si="7">J14/C13</f>
        <v>0.85714285714285721</v>
      </c>
      <c r="K15" s="36">
        <f t="shared" si="7"/>
        <v>0.77272727272727271</v>
      </c>
      <c r="L15" s="36">
        <f t="shared" si="7"/>
        <v>0.61538461538461531</v>
      </c>
      <c r="M15" s="36">
        <f t="shared" si="7"/>
        <v>0.52820512820512822</v>
      </c>
      <c r="N15" s="36">
        <f t="shared" si="7"/>
        <v>0.45454545454545453</v>
      </c>
      <c r="O15" s="12">
        <f t="shared" si="7"/>
        <v>0.69175824175824174</v>
      </c>
    </row>
    <row r="16" spans="1:16" ht="45">
      <c r="A16" s="40" t="s">
        <v>109</v>
      </c>
      <c r="B16" s="37">
        <f t="shared" ref="B16:G16" si="8">(B13*1233481855.4)*1552.387</f>
        <v>765936478823.53601</v>
      </c>
      <c r="C16" s="38">
        <f t="shared" si="8"/>
        <v>2680777675882.3755</v>
      </c>
      <c r="D16" s="38">
        <f t="shared" si="8"/>
        <v>8425301267058.8965</v>
      </c>
      <c r="E16" s="38">
        <f t="shared" si="8"/>
        <v>22403642005588.426</v>
      </c>
      <c r="F16" s="38">
        <f t="shared" si="8"/>
        <v>37339403342647.383</v>
      </c>
      <c r="G16" s="38">
        <f t="shared" si="8"/>
        <v>52658132919118.102</v>
      </c>
      <c r="H16" s="39">
        <v>457000000000000</v>
      </c>
      <c r="I16" s="93">
        <f t="shared" ref="I16:N16" si="9">(I13*1233481855.4)*287.21</f>
        <v>0</v>
      </c>
      <c r="J16" s="38">
        <f t="shared" si="9"/>
        <v>70853664737.88681</v>
      </c>
      <c r="K16" s="38">
        <f t="shared" si="9"/>
        <v>354268323689.43402</v>
      </c>
      <c r="L16" s="38">
        <f t="shared" si="9"/>
        <v>1594207456602.4529</v>
      </c>
      <c r="M16" s="38">
        <f t="shared" si="9"/>
        <v>3259268577942.7925</v>
      </c>
      <c r="N16" s="38">
        <f t="shared" si="9"/>
        <v>5314024855341.5098</v>
      </c>
      <c r="O16" s="39">
        <v>22400000000000</v>
      </c>
    </row>
    <row r="17" spans="1:15" ht="30">
      <c r="A17" s="40" t="s">
        <v>111</v>
      </c>
      <c r="B17" s="143"/>
      <c r="C17" s="154"/>
      <c r="D17" s="154"/>
      <c r="E17" s="154"/>
      <c r="F17" s="154"/>
      <c r="G17" s="154"/>
      <c r="H17" s="155"/>
      <c r="I17" s="93">
        <f t="shared" ref="I17:O17" si="10">B16-I16</f>
        <v>765936478823.53601</v>
      </c>
      <c r="J17" s="38">
        <f t="shared" si="10"/>
        <v>2609924011144.4888</v>
      </c>
      <c r="K17" s="38">
        <f t="shared" si="10"/>
        <v>8071032943369.4629</v>
      </c>
      <c r="L17" s="38">
        <f t="shared" si="10"/>
        <v>20809434548985.973</v>
      </c>
      <c r="M17" s="38">
        <f t="shared" si="10"/>
        <v>34080134764704.59</v>
      </c>
      <c r="N17" s="38">
        <f t="shared" si="10"/>
        <v>47344108063776.594</v>
      </c>
      <c r="O17" s="39">
        <f t="shared" si="10"/>
        <v>434600000000000</v>
      </c>
    </row>
    <row r="18" spans="1:15" ht="30">
      <c r="A18" s="40" t="s">
        <v>80</v>
      </c>
      <c r="B18" s="146"/>
      <c r="C18" s="154"/>
      <c r="D18" s="154"/>
      <c r="E18" s="154"/>
      <c r="F18" s="154"/>
      <c r="G18" s="154"/>
      <c r="H18" s="155"/>
      <c r="I18" s="92">
        <f>I17/B16</f>
        <v>1</v>
      </c>
      <c r="J18" s="36">
        <f t="shared" ref="J18:O18" si="11">J17/C16</f>
        <v>0.97356973486637033</v>
      </c>
      <c r="K18" s="36">
        <f t="shared" si="11"/>
        <v>0.957951850923771</v>
      </c>
      <c r="L18" s="36">
        <f t="shared" si="11"/>
        <v>0.92884159387099696</v>
      </c>
      <c r="M18" s="36">
        <f t="shared" si="11"/>
        <v>0.91271235514842297</v>
      </c>
      <c r="N18" s="36">
        <f t="shared" si="11"/>
        <v>0.89908444221705031</v>
      </c>
      <c r="O18" s="12">
        <f t="shared" si="11"/>
        <v>0.95098468271334791</v>
      </c>
    </row>
    <row r="19" spans="1:15" ht="15.75" thickBot="1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ht="36.75" customHeight="1" thickTop="1" thickBot="1">
      <c r="A20" s="130" t="s">
        <v>83</v>
      </c>
      <c r="B20" s="131"/>
      <c r="C20" s="131"/>
      <c r="D20" s="131"/>
      <c r="E20" s="131"/>
      <c r="F20" s="131"/>
      <c r="G20" s="131"/>
      <c r="H20" s="164"/>
      <c r="I20" s="98"/>
      <c r="J20" s="98"/>
      <c r="K20" s="98"/>
      <c r="L20" s="98"/>
      <c r="M20" s="98"/>
      <c r="N20" s="98"/>
      <c r="O20" s="99"/>
    </row>
    <row r="21" spans="1:15" ht="31.5" thickTop="1" thickBot="1">
      <c r="A21" s="56" t="s">
        <v>38</v>
      </c>
      <c r="B21" s="25" t="s">
        <v>23</v>
      </c>
      <c r="C21" s="25" t="s">
        <v>24</v>
      </c>
      <c r="D21" s="25" t="s">
        <v>25</v>
      </c>
      <c r="E21" s="25" t="s">
        <v>26</v>
      </c>
      <c r="F21" s="25" t="s">
        <v>27</v>
      </c>
      <c r="G21" s="25" t="s">
        <v>28</v>
      </c>
      <c r="H21" s="26" t="s">
        <v>29</v>
      </c>
      <c r="I21" s="156"/>
      <c r="J21" s="157"/>
      <c r="K21" s="157"/>
      <c r="L21" s="157"/>
      <c r="M21" s="157"/>
      <c r="N21" s="157"/>
      <c r="O21" s="158"/>
    </row>
    <row r="22" spans="1:15" ht="30.75" thickTop="1">
      <c r="A22" s="60" t="s">
        <v>84</v>
      </c>
      <c r="B22" s="29">
        <f t="shared" ref="B22:H22" si="12">B4+B13</f>
        <v>0.7</v>
      </c>
      <c r="C22" s="30">
        <f t="shared" si="12"/>
        <v>3.6999999999999997</v>
      </c>
      <c r="D22" s="30">
        <f t="shared" si="12"/>
        <v>14.700000000000001</v>
      </c>
      <c r="E22" s="30">
        <f t="shared" si="12"/>
        <v>47.099999999999994</v>
      </c>
      <c r="F22" s="30">
        <f t="shared" si="12"/>
        <v>86.5</v>
      </c>
      <c r="G22" s="30">
        <f t="shared" si="12"/>
        <v>129.30000000000001</v>
      </c>
      <c r="H22" s="31">
        <f t="shared" si="12"/>
        <v>740</v>
      </c>
      <c r="I22" s="159"/>
      <c r="J22" s="160"/>
      <c r="K22" s="160"/>
      <c r="L22" s="160"/>
      <c r="M22" s="160"/>
      <c r="N22" s="160"/>
      <c r="O22" s="158"/>
    </row>
    <row r="23" spans="1:15" ht="30">
      <c r="A23" s="40" t="s">
        <v>85</v>
      </c>
      <c r="B23" s="64">
        <f t="shared" ref="B23:H23" si="13">I4+I13</f>
        <v>0</v>
      </c>
      <c r="C23" s="65">
        <f t="shared" si="13"/>
        <v>0.2</v>
      </c>
      <c r="D23" s="65">
        <f t="shared" si="13"/>
        <v>1</v>
      </c>
      <c r="E23" s="65">
        <f t="shared" si="13"/>
        <v>4.5</v>
      </c>
      <c r="F23" s="65">
        <f t="shared" si="13"/>
        <v>9.7999999999999989</v>
      </c>
      <c r="G23" s="65">
        <f t="shared" si="13"/>
        <v>18</v>
      </c>
      <c r="H23" s="66">
        <f t="shared" si="13"/>
        <v>56.44</v>
      </c>
      <c r="I23" s="159"/>
      <c r="J23" s="160"/>
      <c r="K23" s="160"/>
      <c r="L23" s="160"/>
      <c r="M23" s="160"/>
      <c r="N23" s="160"/>
      <c r="O23" s="158"/>
    </row>
    <row r="24" spans="1:15" ht="30">
      <c r="A24" s="40" t="s">
        <v>41</v>
      </c>
      <c r="B24" s="35">
        <f>(B22-B23)/B22</f>
        <v>1</v>
      </c>
      <c r="C24" s="36">
        <f t="shared" ref="C24:H24" si="14">(C22-C23)/C22</f>
        <v>0.94594594594594594</v>
      </c>
      <c r="D24" s="36">
        <f t="shared" si="14"/>
        <v>0.93197278911564629</v>
      </c>
      <c r="E24" s="36">
        <f t="shared" si="14"/>
        <v>0.90445859872611467</v>
      </c>
      <c r="F24" s="36">
        <f t="shared" si="14"/>
        <v>0.88670520231213878</v>
      </c>
      <c r="G24" s="36">
        <f t="shared" si="14"/>
        <v>0.86078886310904879</v>
      </c>
      <c r="H24" s="12">
        <f t="shared" si="14"/>
        <v>0.92372972972972966</v>
      </c>
      <c r="I24" s="159"/>
      <c r="J24" s="160"/>
      <c r="K24" s="160"/>
      <c r="L24" s="160"/>
      <c r="M24" s="160"/>
      <c r="N24" s="160"/>
      <c r="O24" s="158"/>
    </row>
    <row r="25" spans="1:15" ht="30">
      <c r="A25" s="40" t="s">
        <v>112</v>
      </c>
      <c r="B25" s="37">
        <f t="shared" ref="B25:H25" si="15">B7+B16</f>
        <v>766354259127.95996</v>
      </c>
      <c r="C25" s="38">
        <f t="shared" si="15"/>
        <v>2683980658216.2925</v>
      </c>
      <c r="D25" s="38">
        <f t="shared" si="15"/>
        <v>8439645057510.7861</v>
      </c>
      <c r="E25" s="38">
        <f t="shared" si="15"/>
        <v>22452940081510.457</v>
      </c>
      <c r="F25" s="38">
        <f t="shared" si="15"/>
        <v>37432707610635.406</v>
      </c>
      <c r="G25" s="38">
        <f t="shared" si="15"/>
        <v>52799899702419.305</v>
      </c>
      <c r="H25" s="39">
        <f t="shared" si="15"/>
        <v>457777000000000</v>
      </c>
      <c r="I25" s="159"/>
      <c r="J25" s="160"/>
      <c r="K25" s="160"/>
      <c r="L25" s="160"/>
      <c r="M25" s="160"/>
      <c r="N25" s="160"/>
      <c r="O25" s="158"/>
    </row>
    <row r="26" spans="1:15" ht="30">
      <c r="A26" s="40" t="s">
        <v>86</v>
      </c>
      <c r="B26" s="37">
        <f t="shared" ref="B26:H26" si="16">I16+I7</f>
        <v>0</v>
      </c>
      <c r="C26" s="38">
        <f t="shared" si="16"/>
        <v>70853664737.88681</v>
      </c>
      <c r="D26" s="38">
        <f t="shared" si="16"/>
        <v>354268323689.43402</v>
      </c>
      <c r="E26" s="38">
        <f t="shared" si="16"/>
        <v>1594207456602.4529</v>
      </c>
      <c r="F26" s="38">
        <f t="shared" si="16"/>
        <v>3261688669343.0874</v>
      </c>
      <c r="G26" s="38">
        <f t="shared" si="16"/>
        <v>5326125312342.9834</v>
      </c>
      <c r="H26" s="39">
        <f t="shared" si="16"/>
        <v>22401370000000</v>
      </c>
      <c r="I26" s="159"/>
      <c r="J26" s="160"/>
      <c r="K26" s="160"/>
      <c r="L26" s="160"/>
      <c r="M26" s="160"/>
      <c r="N26" s="160"/>
      <c r="O26" s="158"/>
    </row>
    <row r="27" spans="1:15" ht="30.75" thickBot="1">
      <c r="A27" s="67" t="s">
        <v>44</v>
      </c>
      <c r="B27" s="18">
        <f>(B25-B26)/B25</f>
        <v>1</v>
      </c>
      <c r="C27" s="16">
        <f t="shared" ref="C27:H27" si="17">(C25-C26)/C25</f>
        <v>0.97360127595517987</v>
      </c>
      <c r="D27" s="16">
        <f t="shared" si="17"/>
        <v>0.95802331481059677</v>
      </c>
      <c r="E27" s="16">
        <f t="shared" si="17"/>
        <v>0.92899783053733564</v>
      </c>
      <c r="F27" s="16">
        <f t="shared" si="17"/>
        <v>0.91286527538242057</v>
      </c>
      <c r="G27" s="16">
        <f t="shared" si="17"/>
        <v>0.89912622292161404</v>
      </c>
      <c r="H27" s="19">
        <f t="shared" si="17"/>
        <v>0.9510648853044168</v>
      </c>
      <c r="I27" s="161"/>
      <c r="J27" s="162"/>
      <c r="K27" s="162"/>
      <c r="L27" s="162"/>
      <c r="M27" s="162"/>
      <c r="N27" s="162"/>
      <c r="O27" s="163"/>
    </row>
    <row r="28" spans="1:15" ht="15.75" thickTop="1"/>
  </sheetData>
  <mergeCells count="17">
    <mergeCell ref="B18:H18"/>
    <mergeCell ref="I21:O27"/>
    <mergeCell ref="A20:H20"/>
    <mergeCell ref="B11:H11"/>
    <mergeCell ref="I11:O11"/>
    <mergeCell ref="B15:H15"/>
    <mergeCell ref="B17:H17"/>
    <mergeCell ref="B14:H14"/>
    <mergeCell ref="B8:H8"/>
    <mergeCell ref="B9:H9"/>
    <mergeCell ref="A11:A12"/>
    <mergeCell ref="A1:O1"/>
    <mergeCell ref="A2:A3"/>
    <mergeCell ref="B2:H2"/>
    <mergeCell ref="I2:O2"/>
    <mergeCell ref="B5:H5"/>
    <mergeCell ref="B6:H6"/>
  </mergeCells>
  <phoneticPr fontId="7" type="noConversion"/>
  <pageMargins left="0.7" right="0.7" top="0.75" bottom="0.75" header="0.3" footer="0.3"/>
  <pageSetup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view="pageBreakPreview" topLeftCell="A19" zoomScale="60" zoomScaleNormal="100" workbookViewId="0">
      <selection activeCell="B17" sqref="B17:H17"/>
    </sheetView>
  </sheetViews>
  <sheetFormatPr defaultRowHeight="15"/>
  <cols>
    <col min="1" max="1" width="17.7109375" customWidth="1"/>
    <col min="2" max="2" width="10.42578125" customWidth="1"/>
    <col min="3" max="3" width="9.42578125" bestFit="1" customWidth="1"/>
    <col min="4" max="4" width="9.28515625" bestFit="1" customWidth="1"/>
    <col min="5" max="5" width="9.7109375" bestFit="1" customWidth="1"/>
    <col min="6" max="6" width="9.42578125" bestFit="1" customWidth="1"/>
    <col min="7" max="7" width="11.140625" bestFit="1" customWidth="1"/>
    <col min="8" max="8" width="13.28515625" customWidth="1"/>
    <col min="9" max="9" width="9.85546875" customWidth="1"/>
    <col min="15" max="15" width="16.42578125" customWidth="1"/>
  </cols>
  <sheetData>
    <row r="1" spans="1:15" ht="41.25" customHeight="1" thickTop="1" thickBot="1">
      <c r="A1" s="120" t="s">
        <v>117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50"/>
    </row>
    <row r="2" spans="1:15" ht="18" customHeight="1" thickTop="1" thickBot="1">
      <c r="A2" s="128" t="s">
        <v>22</v>
      </c>
      <c r="B2" s="129" t="s">
        <v>115</v>
      </c>
      <c r="C2" s="129"/>
      <c r="D2" s="129"/>
      <c r="E2" s="129"/>
      <c r="F2" s="129"/>
      <c r="G2" s="129"/>
      <c r="H2" s="129"/>
      <c r="I2" s="129" t="s">
        <v>118</v>
      </c>
      <c r="J2" s="129"/>
      <c r="K2" s="129"/>
      <c r="L2" s="129"/>
      <c r="M2" s="129"/>
      <c r="N2" s="129"/>
      <c r="O2" s="129"/>
    </row>
    <row r="3" spans="1:15" s="27" customFormat="1" ht="31.5" thickTop="1" thickBot="1">
      <c r="A3" s="128"/>
      <c r="B3" s="25" t="s">
        <v>23</v>
      </c>
      <c r="C3" s="25" t="s">
        <v>24</v>
      </c>
      <c r="D3" s="25" t="s">
        <v>25</v>
      </c>
      <c r="E3" s="25" t="s">
        <v>26</v>
      </c>
      <c r="F3" s="25" t="s">
        <v>27</v>
      </c>
      <c r="G3" s="25" t="s">
        <v>28</v>
      </c>
      <c r="H3" s="26" t="s">
        <v>29</v>
      </c>
      <c r="I3" s="25" t="s">
        <v>23</v>
      </c>
      <c r="J3" s="25" t="s">
        <v>24</v>
      </c>
      <c r="K3" s="25" t="s">
        <v>25</v>
      </c>
      <c r="L3" s="25" t="s">
        <v>26</v>
      </c>
      <c r="M3" s="25" t="s">
        <v>27</v>
      </c>
      <c r="N3" s="25" t="s">
        <v>28</v>
      </c>
      <c r="O3" s="26" t="s">
        <v>29</v>
      </c>
    </row>
    <row r="4" spans="1:15" ht="30.75" thickTop="1">
      <c r="A4" s="60" t="s">
        <v>30</v>
      </c>
      <c r="B4" s="29">
        <v>0.3</v>
      </c>
      <c r="C4" s="30">
        <v>9</v>
      </c>
      <c r="D4" s="30">
        <v>56.4</v>
      </c>
      <c r="E4" s="30">
        <v>234</v>
      </c>
      <c r="F4" s="30">
        <v>481.2</v>
      </c>
      <c r="G4" s="30">
        <v>770.8</v>
      </c>
      <c r="H4" s="31">
        <v>3404.9</v>
      </c>
      <c r="I4" s="29">
        <v>0.01</v>
      </c>
      <c r="J4" s="30">
        <v>7.1</v>
      </c>
      <c r="K4" s="30">
        <v>49.3</v>
      </c>
      <c r="L4" s="30">
        <v>213.7</v>
      </c>
      <c r="M4" s="30">
        <v>447.5</v>
      </c>
      <c r="N4" s="30">
        <v>724.9</v>
      </c>
      <c r="O4" s="31">
        <f>(10*I4)+(17*J4)+(12*K4)+(7*L4)+(1*M4)+(0*N4)</f>
        <v>2655.7999999999997</v>
      </c>
    </row>
    <row r="5" spans="1:15" ht="30">
      <c r="A5" s="40" t="s">
        <v>78</v>
      </c>
      <c r="B5" s="151"/>
      <c r="C5" s="152"/>
      <c r="D5" s="152"/>
      <c r="E5" s="152"/>
      <c r="F5" s="152"/>
      <c r="G5" s="152"/>
      <c r="H5" s="153"/>
      <c r="I5" s="33">
        <f>B4-I4</f>
        <v>0.28999999999999998</v>
      </c>
      <c r="J5" s="34">
        <f t="shared" ref="J5:O5" si="0">C4-J4</f>
        <v>1.9000000000000004</v>
      </c>
      <c r="K5" s="34">
        <f t="shared" si="0"/>
        <v>7.1000000000000014</v>
      </c>
      <c r="L5" s="34">
        <f t="shared" si="0"/>
        <v>20.300000000000011</v>
      </c>
      <c r="M5" s="34">
        <f t="shared" si="0"/>
        <v>33.699999999999989</v>
      </c>
      <c r="N5" s="34">
        <f t="shared" si="0"/>
        <v>45.899999999999977</v>
      </c>
      <c r="O5" s="14">
        <f t="shared" si="0"/>
        <v>749.10000000000036</v>
      </c>
    </row>
    <row r="6" spans="1:15" ht="30">
      <c r="A6" s="40" t="s">
        <v>79</v>
      </c>
      <c r="B6" s="146"/>
      <c r="C6" s="147"/>
      <c r="D6" s="147"/>
      <c r="E6" s="147"/>
      <c r="F6" s="147"/>
      <c r="G6" s="147"/>
      <c r="H6" s="148"/>
      <c r="I6" s="35">
        <f t="shared" ref="I6:O6" si="1">I5/B4</f>
        <v>0.96666666666666667</v>
      </c>
      <c r="J6" s="36">
        <f t="shared" si="1"/>
        <v>0.21111111111111114</v>
      </c>
      <c r="K6" s="36">
        <f t="shared" si="1"/>
        <v>0.12588652482269505</v>
      </c>
      <c r="L6" s="36">
        <f t="shared" si="1"/>
        <v>8.6752136752136805E-2</v>
      </c>
      <c r="M6" s="36">
        <f t="shared" si="1"/>
        <v>7.0033250207813771E-2</v>
      </c>
      <c r="N6" s="36">
        <f t="shared" si="1"/>
        <v>5.9548521017125038E-2</v>
      </c>
      <c r="O6" s="12">
        <f t="shared" si="1"/>
        <v>0.22000646127639589</v>
      </c>
    </row>
    <row r="7" spans="1:15" ht="45">
      <c r="A7" s="40" t="s">
        <v>109</v>
      </c>
      <c r="B7" s="37">
        <f t="shared" ref="B7:G7" si="2">(B4*1233481855.4)*8.291</f>
        <v>3068039418.93642</v>
      </c>
      <c r="C7" s="38">
        <f t="shared" si="2"/>
        <v>92041182568.092606</v>
      </c>
      <c r="D7" s="38">
        <f t="shared" si="2"/>
        <v>576791410760.047</v>
      </c>
      <c r="E7" s="38">
        <f t="shared" si="2"/>
        <v>2393070746770.4082</v>
      </c>
      <c r="F7" s="38">
        <f t="shared" si="2"/>
        <v>4921135227974.0176</v>
      </c>
      <c r="G7" s="38">
        <f t="shared" si="2"/>
        <v>7882815947053.9756</v>
      </c>
      <c r="H7" s="39">
        <v>34800000000000</v>
      </c>
      <c r="I7" s="37">
        <f t="shared" ref="I7:N7" si="3">(I4*1233481855.4)*1.224</f>
        <v>15097817.910096001</v>
      </c>
      <c r="J7" s="38">
        <f t="shared" si="3"/>
        <v>10719450716.168159</v>
      </c>
      <c r="K7" s="38">
        <f t="shared" si="3"/>
        <v>74432242296.773285</v>
      </c>
      <c r="L7" s="38">
        <f t="shared" si="3"/>
        <v>322640368738.75153</v>
      </c>
      <c r="M7" s="38">
        <f t="shared" si="3"/>
        <v>675627351476.79602</v>
      </c>
      <c r="N7" s="38">
        <f t="shared" si="3"/>
        <v>1094440820302.8591</v>
      </c>
      <c r="O7" s="39">
        <f>10*(I7)+17*(J7)+12*(K7)+7*(L7)+1*(M7)+0*(N7)</f>
        <v>4009678480563.2959</v>
      </c>
    </row>
    <row r="8" spans="1:15" ht="30">
      <c r="A8" s="40" t="s">
        <v>111</v>
      </c>
      <c r="B8" s="143"/>
      <c r="C8" s="144"/>
      <c r="D8" s="144"/>
      <c r="E8" s="144"/>
      <c r="F8" s="144"/>
      <c r="G8" s="144"/>
      <c r="H8" s="145"/>
      <c r="I8" s="37">
        <f t="shared" ref="I8:N8" si="4">B7-I7</f>
        <v>3052941601.0263238</v>
      </c>
      <c r="J8" s="38">
        <f t="shared" si="4"/>
        <v>81321731851.924438</v>
      </c>
      <c r="K8" s="38">
        <f t="shared" si="4"/>
        <v>502359168463.27368</v>
      </c>
      <c r="L8" s="38">
        <f t="shared" si="4"/>
        <v>2070430378031.6567</v>
      </c>
      <c r="M8" s="38">
        <f t="shared" si="4"/>
        <v>4245507876497.2217</v>
      </c>
      <c r="N8" s="38">
        <f t="shared" si="4"/>
        <v>6788375126751.1162</v>
      </c>
      <c r="O8" s="39">
        <v>21500000000000</v>
      </c>
    </row>
    <row r="9" spans="1:15" ht="45.75" thickBot="1">
      <c r="A9" s="40" t="s">
        <v>80</v>
      </c>
      <c r="B9" s="165"/>
      <c r="C9" s="166"/>
      <c r="D9" s="166"/>
      <c r="E9" s="166"/>
      <c r="F9" s="166"/>
      <c r="G9" s="166"/>
      <c r="H9" s="167"/>
      <c r="I9" s="18">
        <f t="shared" ref="I9:O9" si="5">I8/B7</f>
        <v>0.99507900132673976</v>
      </c>
      <c r="J9" s="16">
        <f t="shared" si="5"/>
        <v>0.8835363647328428</v>
      </c>
      <c r="K9" s="16">
        <f t="shared" si="5"/>
        <v>0.87095466245120956</v>
      </c>
      <c r="L9" s="16">
        <f t="shared" si="5"/>
        <v>0.86517725429798764</v>
      </c>
      <c r="M9" s="16">
        <f t="shared" si="5"/>
        <v>0.86270904574289764</v>
      </c>
      <c r="N9" s="16">
        <f t="shared" si="5"/>
        <v>0.86116118558979149</v>
      </c>
      <c r="O9" s="19">
        <f t="shared" si="5"/>
        <v>0.61781609195402298</v>
      </c>
    </row>
    <row r="10" spans="1:15" ht="6.75" customHeight="1" thickTop="1" thickBot="1">
      <c r="A10" s="42"/>
      <c r="B10" s="52"/>
      <c r="C10" s="52"/>
      <c r="D10" s="52"/>
      <c r="E10" s="52"/>
      <c r="F10" s="52"/>
      <c r="G10" s="52"/>
      <c r="H10" s="77"/>
      <c r="I10" s="45"/>
      <c r="J10" s="43"/>
      <c r="K10" s="43"/>
      <c r="L10" s="43"/>
      <c r="M10" s="43"/>
      <c r="N10" s="43"/>
      <c r="O10" s="46"/>
    </row>
    <row r="11" spans="1:15" ht="18" thickTop="1" thickBot="1">
      <c r="A11" s="128" t="s">
        <v>22</v>
      </c>
      <c r="B11" s="129" t="s">
        <v>116</v>
      </c>
      <c r="C11" s="129"/>
      <c r="D11" s="129"/>
      <c r="E11" s="129"/>
      <c r="F11" s="129"/>
      <c r="G11" s="129"/>
      <c r="H11" s="129"/>
      <c r="I11" s="129" t="s">
        <v>119</v>
      </c>
      <c r="J11" s="129"/>
      <c r="K11" s="129"/>
      <c r="L11" s="129"/>
      <c r="M11" s="129"/>
      <c r="N11" s="129"/>
      <c r="O11" s="129"/>
    </row>
    <row r="12" spans="1:15" ht="31.5" thickTop="1" thickBot="1">
      <c r="A12" s="128"/>
      <c r="B12" s="25" t="s">
        <v>23</v>
      </c>
      <c r="C12" s="25" t="s">
        <v>24</v>
      </c>
      <c r="D12" s="25" t="s">
        <v>25</v>
      </c>
      <c r="E12" s="25" t="s">
        <v>26</v>
      </c>
      <c r="F12" s="25" t="s">
        <v>27</v>
      </c>
      <c r="G12" s="25" t="s">
        <v>28</v>
      </c>
      <c r="H12" s="26" t="s">
        <v>29</v>
      </c>
      <c r="I12" s="25" t="s">
        <v>23</v>
      </c>
      <c r="J12" s="25" t="s">
        <v>24</v>
      </c>
      <c r="K12" s="25" t="s">
        <v>25</v>
      </c>
      <c r="L12" s="25" t="s">
        <v>26</v>
      </c>
      <c r="M12" s="25" t="s">
        <v>27</v>
      </c>
      <c r="N12" s="25" t="s">
        <v>28</v>
      </c>
      <c r="O12" s="26" t="s">
        <v>29</v>
      </c>
    </row>
    <row r="13" spans="1:15" ht="30.75" thickTop="1">
      <c r="A13" s="60" t="s">
        <v>30</v>
      </c>
      <c r="B13" s="29">
        <v>0</v>
      </c>
      <c r="C13" s="30">
        <v>4.3</v>
      </c>
      <c r="D13" s="30">
        <v>33</v>
      </c>
      <c r="E13" s="30">
        <v>149.30000000000001</v>
      </c>
      <c r="F13" s="30">
        <v>318</v>
      </c>
      <c r="G13" s="30">
        <v>520.6</v>
      </c>
      <c r="H13" s="31">
        <v>2107.6999999999998</v>
      </c>
      <c r="I13" s="29">
        <v>0</v>
      </c>
      <c r="J13" s="30">
        <v>3.9</v>
      </c>
      <c r="K13" s="30">
        <v>31.2</v>
      </c>
      <c r="L13" s="30">
        <v>143.69999999999999</v>
      </c>
      <c r="M13" s="30">
        <v>308.39999999999998</v>
      </c>
      <c r="N13" s="30">
        <v>507.1</v>
      </c>
      <c r="O13" s="31">
        <v>2015.6</v>
      </c>
    </row>
    <row r="14" spans="1:15" ht="30">
      <c r="A14" s="40" t="s">
        <v>78</v>
      </c>
      <c r="B14" s="151"/>
      <c r="C14" s="152"/>
      <c r="D14" s="152"/>
      <c r="E14" s="152"/>
      <c r="F14" s="152"/>
      <c r="G14" s="152"/>
      <c r="H14" s="152"/>
      <c r="I14" s="33">
        <f>B13-I13</f>
        <v>0</v>
      </c>
      <c r="J14" s="34">
        <f t="shared" ref="J14:O14" si="6">C13-J13</f>
        <v>0.39999999999999991</v>
      </c>
      <c r="K14" s="34">
        <f t="shared" si="6"/>
        <v>1.8000000000000007</v>
      </c>
      <c r="L14" s="34">
        <f t="shared" si="6"/>
        <v>5.6000000000000227</v>
      </c>
      <c r="M14" s="34">
        <f t="shared" si="6"/>
        <v>9.6000000000000227</v>
      </c>
      <c r="N14" s="34">
        <f t="shared" si="6"/>
        <v>13.5</v>
      </c>
      <c r="O14" s="14">
        <f t="shared" si="6"/>
        <v>92.099999999999909</v>
      </c>
    </row>
    <row r="15" spans="1:15" ht="30">
      <c r="A15" s="40" t="s">
        <v>79</v>
      </c>
      <c r="B15" s="146"/>
      <c r="C15" s="147"/>
      <c r="D15" s="147"/>
      <c r="E15" s="147"/>
      <c r="F15" s="147"/>
      <c r="G15" s="147"/>
      <c r="H15" s="147"/>
      <c r="I15" s="35"/>
      <c r="J15" s="36">
        <f t="shared" ref="J15:O15" si="7">J14/C13</f>
        <v>9.3023255813953473E-2</v>
      </c>
      <c r="K15" s="36">
        <f t="shared" si="7"/>
        <v>5.4545454545454564E-2</v>
      </c>
      <c r="L15" s="36">
        <f t="shared" si="7"/>
        <v>3.7508372404554735E-2</v>
      </c>
      <c r="M15" s="36">
        <f t="shared" si="7"/>
        <v>3.0188679245283092E-2</v>
      </c>
      <c r="N15" s="36">
        <f t="shared" si="7"/>
        <v>2.5931617364579329E-2</v>
      </c>
      <c r="O15" s="12">
        <f t="shared" si="7"/>
        <v>4.3696920814157575E-2</v>
      </c>
    </row>
    <row r="16" spans="1:15" ht="45">
      <c r="A16" s="40" t="s">
        <v>109</v>
      </c>
      <c r="B16" s="33">
        <f t="shared" ref="B16:G16" si="8">12.274*(B13*1233481855.4)</f>
        <v>0</v>
      </c>
      <c r="C16" s="34">
        <f t="shared" si="8"/>
        <v>65100952060.672279</v>
      </c>
      <c r="D16" s="34">
        <f t="shared" si="8"/>
        <v>499611957674.92682</v>
      </c>
      <c r="E16" s="34">
        <f t="shared" si="8"/>
        <v>2260365614571.7144</v>
      </c>
      <c r="F16" s="34">
        <f t="shared" si="8"/>
        <v>4814442501231.1123</v>
      </c>
      <c r="G16" s="34">
        <f t="shared" si="8"/>
        <v>7881757126229.3008</v>
      </c>
      <c r="H16" s="39">
        <v>31900000000000</v>
      </c>
      <c r="I16" s="33">
        <f t="shared" ref="I16:N16" si="9">11.698*(I13*1233481855.4)</f>
        <v>0</v>
      </c>
      <c r="J16" s="34">
        <f t="shared" si="9"/>
        <v>56274155903.429886</v>
      </c>
      <c r="K16" s="34">
        <f t="shared" si="9"/>
        <v>450193247227.43909</v>
      </c>
      <c r="L16" s="34">
        <f t="shared" si="9"/>
        <v>2073486205980.2241</v>
      </c>
      <c r="M16" s="34">
        <f t="shared" si="9"/>
        <v>4449987097594.3008</v>
      </c>
      <c r="N16" s="34">
        <f t="shared" si="9"/>
        <v>7317083194520.333</v>
      </c>
      <c r="O16" s="39">
        <v>29100000000000</v>
      </c>
    </row>
    <row r="17" spans="1:15" ht="30">
      <c r="A17" s="40" t="s">
        <v>111</v>
      </c>
      <c r="B17" s="151"/>
      <c r="C17" s="152"/>
      <c r="D17" s="152"/>
      <c r="E17" s="152"/>
      <c r="F17" s="152"/>
      <c r="G17" s="152"/>
      <c r="H17" s="152"/>
      <c r="I17" s="33">
        <f>B16-I16</f>
        <v>0</v>
      </c>
      <c r="J17" s="34">
        <f t="shared" ref="J17:O17" si="10">C16-J16</f>
        <v>8826796157.2423935</v>
      </c>
      <c r="K17" s="34">
        <f t="shared" si="10"/>
        <v>49418710447.487732</v>
      </c>
      <c r="L17" s="34">
        <f t="shared" si="10"/>
        <v>186879408591.49023</v>
      </c>
      <c r="M17" s="34">
        <f t="shared" si="10"/>
        <v>364455403636.81152</v>
      </c>
      <c r="N17" s="34">
        <f t="shared" si="10"/>
        <v>564673931708.96777</v>
      </c>
      <c r="O17" s="14">
        <f t="shared" si="10"/>
        <v>2800000000000</v>
      </c>
    </row>
    <row r="18" spans="1:15" ht="45.75" thickBot="1">
      <c r="A18" s="40" t="s">
        <v>80</v>
      </c>
      <c r="B18" s="168"/>
      <c r="C18" s="169"/>
      <c r="D18" s="169"/>
      <c r="E18" s="169"/>
      <c r="F18" s="169"/>
      <c r="G18" s="169"/>
      <c r="H18" s="169"/>
      <c r="I18" s="18"/>
      <c r="J18" s="16">
        <f t="shared" ref="J18:O18" si="11">J17/C16</f>
        <v>0.13558628373078269</v>
      </c>
      <c r="K18" s="16">
        <f t="shared" si="11"/>
        <v>9.8914186676937146E-2</v>
      </c>
      <c r="L18" s="16">
        <f t="shared" si="11"/>
        <v>8.2676628677568809E-2</v>
      </c>
      <c r="M18" s="16">
        <f t="shared" si="11"/>
        <v>7.5700437494811867E-2</v>
      </c>
      <c r="N18" s="16">
        <f t="shared" si="11"/>
        <v>7.1643153000720869E-2</v>
      </c>
      <c r="O18" s="19">
        <f t="shared" si="11"/>
        <v>8.7774294670846395E-2</v>
      </c>
    </row>
    <row r="19" spans="1:15" ht="7.5" customHeight="1" thickTop="1" thickBot="1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ht="32.25" customHeight="1" thickTop="1" thickBot="1">
      <c r="A20" s="130" t="s">
        <v>37</v>
      </c>
      <c r="B20" s="131"/>
      <c r="C20" s="131"/>
      <c r="D20" s="131"/>
      <c r="E20" s="131"/>
      <c r="F20" s="131"/>
      <c r="G20" s="131"/>
      <c r="H20" s="164"/>
      <c r="I20" s="132"/>
      <c r="J20" s="132"/>
      <c r="K20" s="132"/>
      <c r="L20" s="132"/>
      <c r="M20" s="132"/>
      <c r="N20" s="132"/>
      <c r="O20" s="133"/>
    </row>
    <row r="21" spans="1:15" ht="30" customHeight="1" thickTop="1" thickBot="1">
      <c r="A21" s="56" t="s">
        <v>38</v>
      </c>
      <c r="B21" s="25" t="s">
        <v>23</v>
      </c>
      <c r="C21" s="25" t="s">
        <v>24</v>
      </c>
      <c r="D21" s="25" t="s">
        <v>25</v>
      </c>
      <c r="E21" s="25" t="s">
        <v>26</v>
      </c>
      <c r="F21" s="25" t="s">
        <v>27</v>
      </c>
      <c r="G21" s="25" t="s">
        <v>28</v>
      </c>
      <c r="H21" s="26" t="s">
        <v>29</v>
      </c>
      <c r="I21" s="134"/>
      <c r="J21" s="134"/>
      <c r="K21" s="134"/>
      <c r="L21" s="134"/>
      <c r="M21" s="134"/>
      <c r="N21" s="134"/>
      <c r="O21" s="135"/>
    </row>
    <row r="22" spans="1:15" ht="30.75" thickTop="1">
      <c r="A22" s="60" t="s">
        <v>84</v>
      </c>
      <c r="B22" s="29">
        <f>B4+B13</f>
        <v>0.3</v>
      </c>
      <c r="C22" s="30">
        <f t="shared" ref="C22:H22" si="12">C4+C13</f>
        <v>13.3</v>
      </c>
      <c r="D22" s="30">
        <f t="shared" si="12"/>
        <v>89.4</v>
      </c>
      <c r="E22" s="30">
        <f t="shared" si="12"/>
        <v>383.3</v>
      </c>
      <c r="F22" s="30">
        <f t="shared" si="12"/>
        <v>799.2</v>
      </c>
      <c r="G22" s="30">
        <f t="shared" si="12"/>
        <v>1291.4000000000001</v>
      </c>
      <c r="H22" s="31">
        <f t="shared" si="12"/>
        <v>5512.6</v>
      </c>
      <c r="I22" s="134"/>
      <c r="J22" s="134"/>
      <c r="K22" s="134"/>
      <c r="L22" s="134"/>
      <c r="M22" s="134"/>
      <c r="N22" s="134"/>
      <c r="O22" s="135"/>
    </row>
    <row r="23" spans="1:15" ht="15" customHeight="1">
      <c r="A23" s="40" t="s">
        <v>85</v>
      </c>
      <c r="B23" s="64">
        <f t="shared" ref="B23:H23" si="13">I4+I13</f>
        <v>0.01</v>
      </c>
      <c r="C23" s="65">
        <f t="shared" si="13"/>
        <v>11</v>
      </c>
      <c r="D23" s="65">
        <f t="shared" si="13"/>
        <v>80.5</v>
      </c>
      <c r="E23" s="65">
        <f t="shared" si="13"/>
        <v>357.4</v>
      </c>
      <c r="F23" s="65">
        <f t="shared" si="13"/>
        <v>755.9</v>
      </c>
      <c r="G23" s="65">
        <f t="shared" si="13"/>
        <v>1232</v>
      </c>
      <c r="H23" s="66">
        <f t="shared" si="13"/>
        <v>4671.3999999999996</v>
      </c>
      <c r="I23" s="134"/>
      <c r="J23" s="134"/>
      <c r="K23" s="134"/>
      <c r="L23" s="134"/>
      <c r="M23" s="134"/>
      <c r="N23" s="134"/>
      <c r="O23" s="135"/>
    </row>
    <row r="24" spans="1:15" ht="30">
      <c r="A24" s="40" t="s">
        <v>41</v>
      </c>
      <c r="B24" s="35">
        <f>(B22-B23)/B22</f>
        <v>0.96666666666666667</v>
      </c>
      <c r="C24" s="36">
        <f t="shared" ref="C24:H24" si="14">(C22-C23)/C22</f>
        <v>0.17293233082706772</v>
      </c>
      <c r="D24" s="36">
        <f t="shared" si="14"/>
        <v>9.9552572706935183E-2</v>
      </c>
      <c r="E24" s="36">
        <f t="shared" si="14"/>
        <v>6.7571093138533878E-2</v>
      </c>
      <c r="F24" s="36">
        <f t="shared" si="14"/>
        <v>5.4179179179179263E-2</v>
      </c>
      <c r="G24" s="36">
        <f t="shared" si="14"/>
        <v>4.5996592844974517E-2</v>
      </c>
      <c r="H24" s="12">
        <f t="shared" si="14"/>
        <v>0.15259587127671165</v>
      </c>
      <c r="I24" s="134"/>
      <c r="J24" s="134"/>
      <c r="K24" s="134"/>
      <c r="L24" s="134"/>
      <c r="M24" s="134"/>
      <c r="N24" s="134"/>
      <c r="O24" s="135"/>
    </row>
    <row r="25" spans="1:15" ht="32.25" customHeight="1">
      <c r="A25" s="40" t="s">
        <v>112</v>
      </c>
      <c r="B25" s="37">
        <f t="shared" ref="B25:H25" si="15">B7+B16</f>
        <v>3068039418.93642</v>
      </c>
      <c r="C25" s="38">
        <f t="shared" si="15"/>
        <v>157142134628.76489</v>
      </c>
      <c r="D25" s="38">
        <f t="shared" si="15"/>
        <v>1076403368434.9739</v>
      </c>
      <c r="E25" s="38">
        <f t="shared" si="15"/>
        <v>4653436361342.123</v>
      </c>
      <c r="F25" s="38">
        <f t="shared" si="15"/>
        <v>9735577729205.1289</v>
      </c>
      <c r="G25" s="38">
        <f t="shared" si="15"/>
        <v>15764573073283.277</v>
      </c>
      <c r="H25" s="39">
        <f t="shared" si="15"/>
        <v>66700000000000</v>
      </c>
      <c r="I25" s="134"/>
      <c r="J25" s="134"/>
      <c r="K25" s="134"/>
      <c r="L25" s="134"/>
      <c r="M25" s="134"/>
      <c r="N25" s="134"/>
      <c r="O25" s="135"/>
    </row>
    <row r="26" spans="1:15" ht="31.5" customHeight="1">
      <c r="A26" s="40" t="s">
        <v>86</v>
      </c>
      <c r="B26" s="37">
        <f t="shared" ref="B26:H26" si="16">I16+I7</f>
        <v>15097817.910096001</v>
      </c>
      <c r="C26" s="38">
        <f t="shared" si="16"/>
        <v>66993606619.598045</v>
      </c>
      <c r="D26" s="38">
        <f t="shared" si="16"/>
        <v>524625489524.2124</v>
      </c>
      <c r="E26" s="38">
        <f t="shared" si="16"/>
        <v>2396126574718.9756</v>
      </c>
      <c r="F26" s="38">
        <f t="shared" si="16"/>
        <v>5125614449071.0967</v>
      </c>
      <c r="G26" s="38">
        <f t="shared" si="16"/>
        <v>8411524014823.1924</v>
      </c>
      <c r="H26" s="39">
        <f t="shared" si="16"/>
        <v>33109678480563.297</v>
      </c>
      <c r="I26" s="134"/>
      <c r="J26" s="134"/>
      <c r="K26" s="134"/>
      <c r="L26" s="134"/>
      <c r="M26" s="134"/>
      <c r="N26" s="134"/>
      <c r="O26" s="135"/>
    </row>
    <row r="27" spans="1:15" ht="30.75" thickBot="1">
      <c r="A27" s="67" t="s">
        <v>44</v>
      </c>
      <c r="B27" s="18">
        <f>(B25-B26)/B25</f>
        <v>0.99507900132673976</v>
      </c>
      <c r="C27" s="16">
        <f t="shared" ref="C27:H27" si="17">(C25-C26)/C25</f>
        <v>0.57367508862047201</v>
      </c>
      <c r="D27" s="16">
        <f t="shared" si="17"/>
        <v>0.51261255314818788</v>
      </c>
      <c r="E27" s="16">
        <f t="shared" si="17"/>
        <v>0.48508448624665501</v>
      </c>
      <c r="F27" s="16">
        <f t="shared" si="17"/>
        <v>0.47351717672644139</v>
      </c>
      <c r="G27" s="16">
        <f t="shared" si="17"/>
        <v>0.46642868311616575</v>
      </c>
      <c r="H27" s="19">
        <f t="shared" si="17"/>
        <v>0.50360302128091006</v>
      </c>
      <c r="I27" s="136"/>
      <c r="J27" s="136"/>
      <c r="K27" s="136"/>
      <c r="L27" s="136"/>
      <c r="M27" s="136"/>
      <c r="N27" s="136"/>
      <c r="O27" s="137"/>
    </row>
    <row r="28" spans="1:15" ht="15.75" thickTop="1"/>
  </sheetData>
  <mergeCells count="17">
    <mergeCell ref="A11:A12"/>
    <mergeCell ref="B11:H11"/>
    <mergeCell ref="I11:O11"/>
    <mergeCell ref="I20:O27"/>
    <mergeCell ref="B14:H14"/>
    <mergeCell ref="A20:H20"/>
    <mergeCell ref="B18:H18"/>
    <mergeCell ref="B15:H15"/>
    <mergeCell ref="B17:H17"/>
    <mergeCell ref="B5:H5"/>
    <mergeCell ref="B6:H6"/>
    <mergeCell ref="B8:H8"/>
    <mergeCell ref="B9:H9"/>
    <mergeCell ref="A1:O1"/>
    <mergeCell ref="A2:A3"/>
    <mergeCell ref="B2:H2"/>
    <mergeCell ref="I2:O2"/>
  </mergeCells>
  <phoneticPr fontId="7" type="noConversion"/>
  <pageMargins left="0.7" right="0.7" top="0.75" bottom="0.75" header="0.3" footer="0.3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view="pageBreakPreview" zoomScale="60" zoomScaleNormal="100" workbookViewId="0">
      <selection activeCell="F17" sqref="F17"/>
    </sheetView>
  </sheetViews>
  <sheetFormatPr defaultRowHeight="15"/>
  <cols>
    <col min="1" max="1" width="25.7109375" style="1" customWidth="1"/>
    <col min="5" max="5" width="21.140625" customWidth="1"/>
    <col min="9" max="9" width="26.7109375" customWidth="1"/>
  </cols>
  <sheetData>
    <row r="1" spans="1:9" ht="63.75" customHeight="1" thickTop="1" thickBot="1">
      <c r="A1" s="120" t="s">
        <v>105</v>
      </c>
      <c r="B1" s="121"/>
      <c r="C1" s="121"/>
      <c r="D1" s="121"/>
      <c r="E1" s="121"/>
      <c r="F1" s="121"/>
      <c r="G1" s="121"/>
      <c r="H1" s="121"/>
      <c r="I1" s="122"/>
    </row>
    <row r="2" spans="1:9" ht="21" thickTop="1" thickBot="1">
      <c r="A2" s="123" t="s">
        <v>1</v>
      </c>
      <c r="B2" s="124" t="s">
        <v>120</v>
      </c>
      <c r="C2" s="124"/>
      <c r="D2" s="124"/>
      <c r="E2" s="124"/>
      <c r="F2" s="124" t="s">
        <v>121</v>
      </c>
      <c r="G2" s="124"/>
      <c r="H2" s="124"/>
      <c r="I2" s="124"/>
    </row>
    <row r="3" spans="1:9" s="1" customFormat="1" ht="79.5" customHeight="1" thickTop="1" thickBot="1">
      <c r="A3" s="123"/>
      <c r="B3" s="123" t="s">
        <v>3</v>
      </c>
      <c r="C3" s="123"/>
      <c r="D3" s="123" t="s">
        <v>49</v>
      </c>
      <c r="E3" s="123"/>
      <c r="F3" s="123" t="s">
        <v>3</v>
      </c>
      <c r="G3" s="123"/>
      <c r="H3" s="123" t="s">
        <v>49</v>
      </c>
      <c r="I3" s="123"/>
    </row>
    <row r="4" spans="1:9" s="1" customFormat="1" ht="12" customHeight="1" thickTop="1">
      <c r="A4" s="28"/>
      <c r="B4" s="6" t="s">
        <v>5</v>
      </c>
      <c r="C4" s="4" t="s">
        <v>6</v>
      </c>
      <c r="D4" s="6" t="s">
        <v>5</v>
      </c>
      <c r="E4" s="4" t="s">
        <v>6</v>
      </c>
      <c r="F4" s="5" t="s">
        <v>5</v>
      </c>
      <c r="G4" s="3" t="s">
        <v>6</v>
      </c>
      <c r="H4" s="6" t="s">
        <v>5</v>
      </c>
      <c r="I4" s="4" t="s">
        <v>6</v>
      </c>
    </row>
    <row r="5" spans="1:9">
      <c r="A5" s="40" t="s">
        <v>7</v>
      </c>
      <c r="B5" s="9">
        <v>1</v>
      </c>
      <c r="C5" s="12">
        <f t="shared" ref="C5:C11" si="0">B5/$B$12</f>
        <v>2.0271639975674033E-4</v>
      </c>
      <c r="D5" s="9">
        <v>639</v>
      </c>
      <c r="E5" s="12">
        <f>D5/$D$12</f>
        <v>0.12953577944455708</v>
      </c>
      <c r="F5" s="11">
        <v>0</v>
      </c>
      <c r="G5" s="8">
        <f>F5/$F$12</f>
        <v>0</v>
      </c>
      <c r="H5" s="9">
        <v>249</v>
      </c>
      <c r="I5" s="12">
        <f>H5/$H$12</f>
        <v>6.6311584553928091E-2</v>
      </c>
    </row>
    <row r="6" spans="1:9" ht="30">
      <c r="A6" s="40" t="s">
        <v>50</v>
      </c>
      <c r="B6" s="9">
        <v>176</v>
      </c>
      <c r="C6" s="12">
        <f t="shared" si="0"/>
        <v>3.5678086357186299E-2</v>
      </c>
      <c r="D6" s="9">
        <v>176</v>
      </c>
      <c r="E6" s="12">
        <f t="shared" ref="E6:E11" si="1">D6/$B$12</f>
        <v>3.5678086357186299E-2</v>
      </c>
      <c r="F6" s="11">
        <v>491</v>
      </c>
      <c r="G6" s="8">
        <f t="shared" ref="G6:G11" si="2">F6/$F$12</f>
        <v>0.13075898801597868</v>
      </c>
      <c r="H6" s="9">
        <v>466</v>
      </c>
      <c r="I6" s="12">
        <f t="shared" ref="I6:I11" si="3">H6/$H$12</f>
        <v>0.12410119840213049</v>
      </c>
    </row>
    <row r="7" spans="1:9">
      <c r="A7" s="40" t="s">
        <v>9</v>
      </c>
      <c r="B7" s="9">
        <v>0</v>
      </c>
      <c r="C7" s="12">
        <f t="shared" si="0"/>
        <v>0</v>
      </c>
      <c r="D7" s="9">
        <v>0</v>
      </c>
      <c r="E7" s="12">
        <f t="shared" si="1"/>
        <v>0</v>
      </c>
      <c r="F7" s="11">
        <v>249</v>
      </c>
      <c r="G7" s="8">
        <f t="shared" si="2"/>
        <v>6.6311584553928091E-2</v>
      </c>
      <c r="H7" s="9">
        <v>249</v>
      </c>
      <c r="I7" s="12">
        <f t="shared" si="3"/>
        <v>6.6311584553928091E-2</v>
      </c>
    </row>
    <row r="8" spans="1:9">
      <c r="A8" s="40" t="s">
        <v>10</v>
      </c>
      <c r="B8" s="9">
        <v>719</v>
      </c>
      <c r="C8" s="12">
        <f t="shared" si="0"/>
        <v>0.14575309142509629</v>
      </c>
      <c r="D8" s="9">
        <v>400</v>
      </c>
      <c r="E8" s="12">
        <f t="shared" si="1"/>
        <v>8.1086559902696129E-2</v>
      </c>
      <c r="F8" s="11">
        <v>1424</v>
      </c>
      <c r="G8" s="8">
        <f t="shared" si="2"/>
        <v>0.37922769640479359</v>
      </c>
      <c r="H8" s="9">
        <v>1312</v>
      </c>
      <c r="I8" s="12">
        <f t="shared" si="3"/>
        <v>0.34940079893475368</v>
      </c>
    </row>
    <row r="9" spans="1:9">
      <c r="A9" s="40" t="s">
        <v>11</v>
      </c>
      <c r="B9" s="9">
        <v>2694</v>
      </c>
      <c r="C9" s="12">
        <f t="shared" si="0"/>
        <v>0.54611798094465847</v>
      </c>
      <c r="D9" s="9">
        <v>2375</v>
      </c>
      <c r="E9" s="12">
        <f t="shared" si="1"/>
        <v>0.48145144942225826</v>
      </c>
      <c r="F9" s="11">
        <v>1026</v>
      </c>
      <c r="G9" s="8">
        <f t="shared" si="2"/>
        <v>0.2732356857523302</v>
      </c>
      <c r="H9" s="9">
        <v>914</v>
      </c>
      <c r="I9" s="12">
        <f t="shared" si="3"/>
        <v>0.24340878828229029</v>
      </c>
    </row>
    <row r="10" spans="1:9" ht="30">
      <c r="A10" s="40" t="s">
        <v>12</v>
      </c>
      <c r="B10" s="9">
        <v>24</v>
      </c>
      <c r="C10" s="12">
        <f t="shared" si="0"/>
        <v>4.8651935941617678E-3</v>
      </c>
      <c r="D10" s="9">
        <v>24</v>
      </c>
      <c r="E10" s="12">
        <f t="shared" si="1"/>
        <v>4.8651935941617678E-3</v>
      </c>
      <c r="F10" s="11">
        <v>565</v>
      </c>
      <c r="G10" s="8">
        <f t="shared" si="2"/>
        <v>0.15046604527296936</v>
      </c>
      <c r="H10" s="9">
        <v>565</v>
      </c>
      <c r="I10" s="12">
        <f t="shared" si="3"/>
        <v>0.15046604527296936</v>
      </c>
    </row>
    <row r="11" spans="1:9">
      <c r="A11" s="40" t="s">
        <v>13</v>
      </c>
      <c r="B11" s="9">
        <v>1319</v>
      </c>
      <c r="C11" s="12">
        <f t="shared" si="0"/>
        <v>0.26738293127914048</v>
      </c>
      <c r="D11" s="9">
        <v>1319</v>
      </c>
      <c r="E11" s="12">
        <f t="shared" si="1"/>
        <v>0.26738293127914048</v>
      </c>
      <c r="F11" s="11">
        <v>0</v>
      </c>
      <c r="G11" s="8">
        <f t="shared" si="2"/>
        <v>0</v>
      </c>
      <c r="H11" s="9">
        <v>0</v>
      </c>
      <c r="I11" s="12">
        <f t="shared" si="3"/>
        <v>0</v>
      </c>
    </row>
    <row r="12" spans="1:9">
      <c r="A12" s="40" t="s">
        <v>14</v>
      </c>
      <c r="B12" s="9">
        <f>SUM(B5:B11)</f>
        <v>4933</v>
      </c>
      <c r="C12" s="14"/>
      <c r="D12" s="9">
        <f>SUM(D5:D11)</f>
        <v>4933</v>
      </c>
      <c r="E12" s="14"/>
      <c r="F12" s="11">
        <f>SUM(F5:F11)</f>
        <v>3755</v>
      </c>
      <c r="G12" s="15"/>
      <c r="H12" s="9">
        <f>SUM(H5:H11)</f>
        <v>3755</v>
      </c>
      <c r="I12" s="14"/>
    </row>
    <row r="13" spans="1:9" ht="30.75" thickBot="1">
      <c r="A13" s="50" t="s">
        <v>15</v>
      </c>
      <c r="B13" s="18" t="s">
        <v>17</v>
      </c>
      <c r="C13" s="21"/>
      <c r="D13" s="18" t="s">
        <v>19</v>
      </c>
      <c r="E13" s="21"/>
      <c r="F13" s="20">
        <v>0.2</v>
      </c>
      <c r="G13" s="22"/>
      <c r="H13" s="18" t="s">
        <v>51</v>
      </c>
      <c r="I13" s="23"/>
    </row>
    <row r="14" spans="1:9" ht="15.75" thickTop="1"/>
  </sheetData>
  <mergeCells count="8">
    <mergeCell ref="A1:I1"/>
    <mergeCell ref="A2:A3"/>
    <mergeCell ref="B2:E2"/>
    <mergeCell ref="F2:I2"/>
    <mergeCell ref="B3:C3"/>
    <mergeCell ref="D3:E3"/>
    <mergeCell ref="F3:G3"/>
    <mergeCell ref="H3:I3"/>
  </mergeCells>
  <phoneticPr fontId="7" type="noConversion"/>
  <printOptions horizontalCentered="1" verticalCentered="1"/>
  <pageMargins left="0.7" right="0.7" top="0.75" bottom="0.7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view="pageBreakPreview" zoomScale="60" zoomScaleNormal="100" workbookViewId="0">
      <selection activeCell="F17" sqref="F17"/>
    </sheetView>
  </sheetViews>
  <sheetFormatPr defaultRowHeight="15"/>
  <cols>
    <col min="1" max="1" width="25.7109375" style="1" customWidth="1"/>
    <col min="5" max="5" width="23.140625" customWidth="1"/>
    <col min="9" max="9" width="24.140625" customWidth="1"/>
  </cols>
  <sheetData>
    <row r="1" spans="1:9" ht="51.75" customHeight="1" thickTop="1" thickBot="1">
      <c r="A1" s="138" t="s">
        <v>104</v>
      </c>
      <c r="B1" s="138"/>
      <c r="C1" s="138"/>
      <c r="D1" s="138"/>
      <c r="E1" s="138"/>
      <c r="F1" s="138"/>
      <c r="G1" s="138"/>
      <c r="H1" s="138"/>
      <c r="I1" s="138"/>
    </row>
    <row r="2" spans="1:9" ht="21" thickTop="1" thickBot="1">
      <c r="A2" s="123" t="s">
        <v>1</v>
      </c>
      <c r="B2" s="124" t="s">
        <v>120</v>
      </c>
      <c r="C2" s="124"/>
      <c r="D2" s="124"/>
      <c r="E2" s="124"/>
      <c r="F2" s="124" t="s">
        <v>121</v>
      </c>
      <c r="G2" s="124"/>
      <c r="H2" s="124"/>
      <c r="I2" s="124"/>
    </row>
    <row r="3" spans="1:9" s="1" customFormat="1" ht="79.5" customHeight="1" thickTop="1" thickBot="1">
      <c r="A3" s="123"/>
      <c r="B3" s="123" t="s">
        <v>3</v>
      </c>
      <c r="C3" s="123"/>
      <c r="D3" s="123" t="s">
        <v>52</v>
      </c>
      <c r="E3" s="123"/>
      <c r="F3" s="123" t="s">
        <v>3</v>
      </c>
      <c r="G3" s="123"/>
      <c r="H3" s="123" t="s">
        <v>53</v>
      </c>
      <c r="I3" s="123"/>
    </row>
    <row r="4" spans="1:9" s="1" customFormat="1" ht="13.5" customHeight="1" thickTop="1">
      <c r="A4" s="28"/>
      <c r="B4" s="2" t="s">
        <v>5</v>
      </c>
      <c r="C4" s="10" t="s">
        <v>6</v>
      </c>
      <c r="D4" s="5" t="s">
        <v>5</v>
      </c>
      <c r="E4" s="3" t="s">
        <v>6</v>
      </c>
      <c r="F4" s="2" t="s">
        <v>5</v>
      </c>
      <c r="G4" s="10" t="s">
        <v>6</v>
      </c>
      <c r="H4" s="5" t="s">
        <v>5</v>
      </c>
      <c r="I4" s="10" t="s">
        <v>6</v>
      </c>
    </row>
    <row r="5" spans="1:9">
      <c r="A5" s="40" t="s">
        <v>7</v>
      </c>
      <c r="B5" s="9">
        <v>1</v>
      </c>
      <c r="C5" s="12">
        <f t="shared" ref="C5:C11" si="0">B5/$B$12</f>
        <v>2.0271639975674033E-4</v>
      </c>
      <c r="D5" s="11">
        <v>957</v>
      </c>
      <c r="E5" s="8">
        <f>D5/$D$12</f>
        <v>0.19399959456720048</v>
      </c>
      <c r="F5" s="9">
        <v>0</v>
      </c>
      <c r="G5" s="12">
        <f>F5/$F$12</f>
        <v>0</v>
      </c>
      <c r="H5" s="11">
        <v>587</v>
      </c>
      <c r="I5" s="12">
        <f>H5/$H$12</f>
        <v>0.15632490013315578</v>
      </c>
    </row>
    <row r="6" spans="1:9" ht="30">
      <c r="A6" s="40" t="s">
        <v>50</v>
      </c>
      <c r="B6" s="9">
        <v>176</v>
      </c>
      <c r="C6" s="12">
        <f t="shared" si="0"/>
        <v>3.5678086357186299E-2</v>
      </c>
      <c r="D6" s="11">
        <v>176</v>
      </c>
      <c r="E6" s="8">
        <f t="shared" ref="E6:E11" si="1">D6/$B$12</f>
        <v>3.5678086357186299E-2</v>
      </c>
      <c r="F6" s="9">
        <v>491</v>
      </c>
      <c r="G6" s="12">
        <f t="shared" ref="G6:G11" si="2">F6/$F$12</f>
        <v>0.13075898801597868</v>
      </c>
      <c r="H6" s="11">
        <v>466</v>
      </c>
      <c r="I6" s="12">
        <f t="shared" ref="I6:I11" si="3">H6/$H$12</f>
        <v>0.12410119840213049</v>
      </c>
    </row>
    <row r="7" spans="1:9">
      <c r="A7" s="40" t="s">
        <v>9</v>
      </c>
      <c r="B7" s="9">
        <v>0</v>
      </c>
      <c r="C7" s="12">
        <f t="shared" si="0"/>
        <v>0</v>
      </c>
      <c r="D7" s="11">
        <v>0</v>
      </c>
      <c r="E7" s="8">
        <f t="shared" si="1"/>
        <v>0</v>
      </c>
      <c r="F7" s="9">
        <v>249</v>
      </c>
      <c r="G7" s="12">
        <f t="shared" si="2"/>
        <v>6.6311584553928091E-2</v>
      </c>
      <c r="H7" s="11">
        <v>249</v>
      </c>
      <c r="I7" s="12">
        <f t="shared" si="3"/>
        <v>6.6311584553928091E-2</v>
      </c>
    </row>
    <row r="8" spans="1:9">
      <c r="A8" s="40" t="s">
        <v>10</v>
      </c>
      <c r="B8" s="9">
        <v>719</v>
      </c>
      <c r="C8" s="12">
        <f t="shared" si="0"/>
        <v>0.14575309142509629</v>
      </c>
      <c r="D8" s="11">
        <v>241</v>
      </c>
      <c r="E8" s="8">
        <f t="shared" si="1"/>
        <v>4.885465234137442E-2</v>
      </c>
      <c r="F8" s="9">
        <v>1424</v>
      </c>
      <c r="G8" s="12">
        <f t="shared" si="2"/>
        <v>0.37922769640479359</v>
      </c>
      <c r="H8" s="11">
        <v>1143</v>
      </c>
      <c r="I8" s="12">
        <f t="shared" si="3"/>
        <v>0.3043941411451398</v>
      </c>
    </row>
    <row r="9" spans="1:9">
      <c r="A9" s="40" t="s">
        <v>11</v>
      </c>
      <c r="B9" s="9">
        <v>2694</v>
      </c>
      <c r="C9" s="12">
        <f t="shared" si="0"/>
        <v>0.54611798094465847</v>
      </c>
      <c r="D9" s="11">
        <v>2216</v>
      </c>
      <c r="E9" s="8">
        <f t="shared" si="1"/>
        <v>0.44921954186093654</v>
      </c>
      <c r="F9" s="9">
        <v>1026</v>
      </c>
      <c r="G9" s="12">
        <f t="shared" si="2"/>
        <v>0.2732356857523302</v>
      </c>
      <c r="H9" s="11">
        <v>745</v>
      </c>
      <c r="I9" s="12">
        <f t="shared" si="3"/>
        <v>0.19840213049267644</v>
      </c>
    </row>
    <row r="10" spans="1:9" ht="30">
      <c r="A10" s="40" t="s">
        <v>12</v>
      </c>
      <c r="B10" s="9">
        <v>24</v>
      </c>
      <c r="C10" s="12">
        <f t="shared" si="0"/>
        <v>4.8651935941617678E-3</v>
      </c>
      <c r="D10" s="11">
        <v>24</v>
      </c>
      <c r="E10" s="8">
        <f t="shared" si="1"/>
        <v>4.8651935941617678E-3</v>
      </c>
      <c r="F10" s="9">
        <v>565</v>
      </c>
      <c r="G10" s="12">
        <f t="shared" si="2"/>
        <v>0.15046604527296936</v>
      </c>
      <c r="H10" s="11">
        <v>565</v>
      </c>
      <c r="I10" s="12">
        <f t="shared" si="3"/>
        <v>0.15046604527296936</v>
      </c>
    </row>
    <row r="11" spans="1:9">
      <c r="A11" s="40" t="s">
        <v>13</v>
      </c>
      <c r="B11" s="9">
        <v>1319</v>
      </c>
      <c r="C11" s="12">
        <f t="shared" si="0"/>
        <v>0.26738293127914048</v>
      </c>
      <c r="D11" s="11">
        <v>1319</v>
      </c>
      <c r="E11" s="8">
        <f t="shared" si="1"/>
        <v>0.26738293127914048</v>
      </c>
      <c r="F11" s="9">
        <v>0</v>
      </c>
      <c r="G11" s="12">
        <f t="shared" si="2"/>
        <v>0</v>
      </c>
      <c r="H11" s="11">
        <v>0</v>
      </c>
      <c r="I11" s="12">
        <f t="shared" si="3"/>
        <v>0</v>
      </c>
    </row>
    <row r="12" spans="1:9">
      <c r="A12" s="40" t="s">
        <v>14</v>
      </c>
      <c r="B12" s="9">
        <f>SUM(B5:B11)</f>
        <v>4933</v>
      </c>
      <c r="C12" s="14"/>
      <c r="D12" s="11">
        <f>SUM(D5:D11)</f>
        <v>4933</v>
      </c>
      <c r="E12" s="15"/>
      <c r="F12" s="9">
        <f>SUM(F5:F11)</f>
        <v>3755</v>
      </c>
      <c r="G12" s="14"/>
      <c r="H12" s="11">
        <f>SUM(H5:H11)</f>
        <v>3755</v>
      </c>
      <c r="I12" s="14"/>
    </row>
    <row r="13" spans="1:9" ht="30.75" thickBot="1">
      <c r="A13" s="50" t="s">
        <v>15</v>
      </c>
      <c r="B13" s="18" t="s">
        <v>17</v>
      </c>
      <c r="C13" s="21"/>
      <c r="D13" s="20" t="s">
        <v>54</v>
      </c>
      <c r="E13" s="22"/>
      <c r="F13" s="18">
        <v>0.2</v>
      </c>
      <c r="G13" s="21"/>
      <c r="H13" s="20" t="s">
        <v>55</v>
      </c>
      <c r="I13" s="23"/>
    </row>
    <row r="14" spans="1:9" ht="15.75" thickTop="1"/>
  </sheetData>
  <mergeCells count="8">
    <mergeCell ref="A1:I1"/>
    <mergeCell ref="A2:A3"/>
    <mergeCell ref="B2:E2"/>
    <mergeCell ref="F2:I2"/>
    <mergeCell ref="B3:C3"/>
    <mergeCell ref="D3:E3"/>
    <mergeCell ref="F3:G3"/>
    <mergeCell ref="H3:I3"/>
  </mergeCells>
  <phoneticPr fontId="7" type="noConversion"/>
  <printOptions horizontalCentered="1" verticalCentered="1"/>
  <pageMargins left="0.7" right="0.7" top="0.75" bottom="0.75" header="0.3" footer="0.3"/>
  <pageSetup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view="pageBreakPreview" zoomScale="60" zoomScaleNormal="100" workbookViewId="0">
      <selection activeCell="F17" sqref="F17"/>
    </sheetView>
  </sheetViews>
  <sheetFormatPr defaultRowHeight="15"/>
  <cols>
    <col min="1" max="1" width="25.7109375" style="1" customWidth="1"/>
    <col min="5" max="5" width="21.7109375" customWidth="1"/>
    <col min="9" max="9" width="22" customWidth="1"/>
  </cols>
  <sheetData>
    <row r="1" spans="1:9" ht="53.25" customHeight="1" thickTop="1" thickBot="1">
      <c r="A1" s="170" t="s">
        <v>103</v>
      </c>
      <c r="B1" s="171"/>
      <c r="C1" s="171"/>
      <c r="D1" s="171"/>
      <c r="E1" s="171"/>
      <c r="F1" s="171"/>
      <c r="G1" s="171"/>
      <c r="H1" s="171"/>
      <c r="I1" s="172"/>
    </row>
    <row r="2" spans="1:9" ht="21" thickTop="1" thickBot="1">
      <c r="A2" s="173" t="s">
        <v>1</v>
      </c>
      <c r="B2" s="175" t="s">
        <v>120</v>
      </c>
      <c r="C2" s="176"/>
      <c r="D2" s="176"/>
      <c r="E2" s="177"/>
      <c r="F2" s="175" t="s">
        <v>121</v>
      </c>
      <c r="G2" s="176"/>
      <c r="H2" s="176"/>
      <c r="I2" s="177"/>
    </row>
    <row r="3" spans="1:9" s="1" customFormat="1" ht="79.5" customHeight="1" thickTop="1" thickBot="1">
      <c r="A3" s="174"/>
      <c r="B3" s="130" t="s">
        <v>3</v>
      </c>
      <c r="C3" s="178"/>
      <c r="D3" s="179" t="s">
        <v>56</v>
      </c>
      <c r="E3" s="164"/>
      <c r="F3" s="130" t="s">
        <v>3</v>
      </c>
      <c r="G3" s="178"/>
      <c r="H3" s="179" t="s">
        <v>56</v>
      </c>
      <c r="I3" s="164"/>
    </row>
    <row r="4" spans="1:9" s="1" customFormat="1" ht="13.5" customHeight="1" thickTop="1">
      <c r="A4" s="28"/>
      <c r="B4" s="6" t="s">
        <v>5</v>
      </c>
      <c r="C4" s="4" t="s">
        <v>6</v>
      </c>
      <c r="D4" s="5" t="s">
        <v>5</v>
      </c>
      <c r="E4" s="3" t="s">
        <v>6</v>
      </c>
      <c r="F4" s="2" t="s">
        <v>5</v>
      </c>
      <c r="G4" s="3" t="s">
        <v>6</v>
      </c>
      <c r="H4" s="6" t="s">
        <v>5</v>
      </c>
      <c r="I4" s="4" t="s">
        <v>6</v>
      </c>
    </row>
    <row r="5" spans="1:9">
      <c r="A5" s="40" t="s">
        <v>7</v>
      </c>
      <c r="B5" s="9">
        <v>1</v>
      </c>
      <c r="C5" s="12">
        <f t="shared" ref="C5:C11" si="0">B5/$B$12</f>
        <v>2.0271639975674033E-4</v>
      </c>
      <c r="D5" s="11">
        <v>1277</v>
      </c>
      <c r="E5" s="8">
        <f>D5/$D$12</f>
        <v>0.25886884248935738</v>
      </c>
      <c r="F5" s="9">
        <v>0</v>
      </c>
      <c r="G5" s="8">
        <f>F5/$F$12</f>
        <v>0</v>
      </c>
      <c r="H5" s="9">
        <v>701</v>
      </c>
      <c r="I5" s="12">
        <f>H5/$H$12</f>
        <v>0.1866844207723036</v>
      </c>
    </row>
    <row r="6" spans="1:9" ht="30">
      <c r="A6" s="40" t="s">
        <v>50</v>
      </c>
      <c r="B6" s="9">
        <v>176</v>
      </c>
      <c r="C6" s="12">
        <f t="shared" si="0"/>
        <v>3.5678086357186299E-2</v>
      </c>
      <c r="D6" s="11">
        <v>176</v>
      </c>
      <c r="E6" s="8">
        <f t="shared" ref="E6:E11" si="1">D6/$B$12</f>
        <v>3.5678086357186299E-2</v>
      </c>
      <c r="F6" s="9">
        <v>491</v>
      </c>
      <c r="G6" s="8">
        <f t="shared" ref="G6:G11" si="2">F6/$F$12</f>
        <v>0.13075898801597868</v>
      </c>
      <c r="H6" s="9">
        <v>466</v>
      </c>
      <c r="I6" s="12">
        <f t="shared" ref="I6:I11" si="3">H6/$H$12</f>
        <v>0.12410119840213049</v>
      </c>
    </row>
    <row r="7" spans="1:9">
      <c r="A7" s="40" t="s">
        <v>9</v>
      </c>
      <c r="B7" s="9">
        <v>0</v>
      </c>
      <c r="C7" s="12">
        <f t="shared" si="0"/>
        <v>0</v>
      </c>
      <c r="D7" s="11">
        <v>0</v>
      </c>
      <c r="E7" s="8">
        <f t="shared" si="1"/>
        <v>0</v>
      </c>
      <c r="F7" s="9">
        <v>249</v>
      </c>
      <c r="G7" s="8">
        <f t="shared" si="2"/>
        <v>6.6311584553928091E-2</v>
      </c>
      <c r="H7" s="9">
        <v>249</v>
      </c>
      <c r="I7" s="12">
        <f t="shared" si="3"/>
        <v>6.6311584553928091E-2</v>
      </c>
    </row>
    <row r="8" spans="1:9">
      <c r="A8" s="40" t="s">
        <v>10</v>
      </c>
      <c r="B8" s="9">
        <v>719</v>
      </c>
      <c r="C8" s="12">
        <f t="shared" si="0"/>
        <v>0.14575309142509629</v>
      </c>
      <c r="D8" s="11">
        <v>81</v>
      </c>
      <c r="E8" s="8">
        <f t="shared" si="1"/>
        <v>1.6420028380295965E-2</v>
      </c>
      <c r="F8" s="9">
        <v>1424</v>
      </c>
      <c r="G8" s="8">
        <f t="shared" si="2"/>
        <v>0.37922769640479359</v>
      </c>
      <c r="H8" s="9">
        <v>1086</v>
      </c>
      <c r="I8" s="12">
        <f t="shared" si="3"/>
        <v>0.28921438082556589</v>
      </c>
    </row>
    <row r="9" spans="1:9">
      <c r="A9" s="40" t="s">
        <v>11</v>
      </c>
      <c r="B9" s="9">
        <v>2694</v>
      </c>
      <c r="C9" s="12">
        <f t="shared" si="0"/>
        <v>0.54611798094465847</v>
      </c>
      <c r="D9" s="11">
        <v>2056</v>
      </c>
      <c r="E9" s="8">
        <f t="shared" si="1"/>
        <v>0.41678491789985811</v>
      </c>
      <c r="F9" s="9">
        <v>1026</v>
      </c>
      <c r="G9" s="8">
        <f t="shared" si="2"/>
        <v>0.2732356857523302</v>
      </c>
      <c r="H9" s="9">
        <v>688</v>
      </c>
      <c r="I9" s="12">
        <f t="shared" si="3"/>
        <v>0.18322237017310253</v>
      </c>
    </row>
    <row r="10" spans="1:9" ht="30">
      <c r="A10" s="40" t="s">
        <v>12</v>
      </c>
      <c r="B10" s="9">
        <v>24</v>
      </c>
      <c r="C10" s="12">
        <f t="shared" si="0"/>
        <v>4.8651935941617678E-3</v>
      </c>
      <c r="D10" s="11">
        <v>24</v>
      </c>
      <c r="E10" s="8">
        <f t="shared" si="1"/>
        <v>4.8651935941617678E-3</v>
      </c>
      <c r="F10" s="9">
        <v>565</v>
      </c>
      <c r="G10" s="8">
        <f t="shared" si="2"/>
        <v>0.15046604527296936</v>
      </c>
      <c r="H10" s="9">
        <v>565</v>
      </c>
      <c r="I10" s="12">
        <f t="shared" si="3"/>
        <v>0.15046604527296936</v>
      </c>
    </row>
    <row r="11" spans="1:9">
      <c r="A11" s="40" t="s">
        <v>13</v>
      </c>
      <c r="B11" s="9">
        <v>1319</v>
      </c>
      <c r="C11" s="12">
        <f t="shared" si="0"/>
        <v>0.26738293127914048</v>
      </c>
      <c r="D11" s="11">
        <v>1319</v>
      </c>
      <c r="E11" s="8">
        <f t="shared" si="1"/>
        <v>0.26738293127914048</v>
      </c>
      <c r="F11" s="9">
        <v>0</v>
      </c>
      <c r="G11" s="8">
        <f t="shared" si="2"/>
        <v>0</v>
      </c>
      <c r="H11" s="9">
        <v>0</v>
      </c>
      <c r="I11" s="12">
        <f t="shared" si="3"/>
        <v>0</v>
      </c>
    </row>
    <row r="12" spans="1:9">
      <c r="A12" s="40" t="s">
        <v>14</v>
      </c>
      <c r="B12" s="9">
        <f>SUM(B5:B11)</f>
        <v>4933</v>
      </c>
      <c r="C12" s="14"/>
      <c r="D12" s="11">
        <f>SUM(D5:D11)</f>
        <v>4933</v>
      </c>
      <c r="E12" s="15"/>
      <c r="F12" s="9">
        <f>SUM(F5:F11)</f>
        <v>3755</v>
      </c>
      <c r="G12" s="15"/>
      <c r="H12" s="9">
        <f>SUM(H5:H11)</f>
        <v>3755</v>
      </c>
      <c r="I12" s="14"/>
    </row>
    <row r="13" spans="1:9" ht="30.75" thickBot="1">
      <c r="A13" s="50" t="s">
        <v>15</v>
      </c>
      <c r="B13" s="18" t="s">
        <v>17</v>
      </c>
      <c r="C13" s="21"/>
      <c r="D13" s="20" t="s">
        <v>54</v>
      </c>
      <c r="E13" s="22"/>
      <c r="F13" s="18">
        <v>0.2</v>
      </c>
      <c r="G13" s="22"/>
      <c r="H13" s="18" t="s">
        <v>55</v>
      </c>
      <c r="I13" s="23"/>
    </row>
    <row r="14" spans="1:9" ht="15.75" thickTop="1"/>
  </sheetData>
  <mergeCells count="8">
    <mergeCell ref="A1:I1"/>
    <mergeCell ref="A2:A3"/>
    <mergeCell ref="B2:E2"/>
    <mergeCell ref="F2:I2"/>
    <mergeCell ref="B3:C3"/>
    <mergeCell ref="D3:E3"/>
    <mergeCell ref="F3:G3"/>
    <mergeCell ref="H3:I3"/>
  </mergeCells>
  <phoneticPr fontId="7" type="noConversion"/>
  <printOptions horizontalCentered="1" verticalCentered="1"/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1</vt:lpstr>
      <vt:lpstr>Table 2</vt:lpstr>
      <vt:lpstr>Table3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Andrea Malloy</cp:lastModifiedBy>
  <cp:lastPrinted>2011-08-03T18:10:31Z</cp:lastPrinted>
  <dcterms:created xsi:type="dcterms:W3CDTF">2011-07-23T22:43:42Z</dcterms:created>
  <dcterms:modified xsi:type="dcterms:W3CDTF">2011-09-01T17:42:57Z</dcterms:modified>
</cp:coreProperties>
</file>